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operador\Desktop\PREFEITURA DE SERVIÇOS PRUBLICO\LIXO - MOD\"/>
    </mc:Choice>
  </mc:AlternateContent>
  <xr:revisionPtr revIDLastSave="0" documentId="13_ncr:1_{C77C4193-71A5-43AF-9B0B-0F6D42F5CD91}" xr6:coauthVersionLast="44" xr6:coauthVersionMax="44" xr10:uidLastSave="{00000000-0000-0000-0000-000000000000}"/>
  <bookViews>
    <workbookView xWindow="-120" yWindow="-120" windowWidth="20730" windowHeight="11160" tabRatio="826" firstSheet="1" activeTab="21" xr2:uid="{00000000-000D-0000-FFFF-FFFF00000000}"/>
  </bookViews>
  <sheets>
    <sheet name="BASCULANTE (2)" sheetId="67" state="hidden" r:id="rId1"/>
    <sheet name="BALANÇA" sheetId="82" r:id="rId2"/>
    <sheet name="OPERAÇÃO" sheetId="83" r:id="rId3"/>
    <sheet name="COLETOR" sheetId="1" r:id="rId4"/>
    <sheet name="VARREDOR" sheetId="2" state="hidden" r:id="rId5"/>
    <sheet name="FISCAL" sheetId="3" r:id="rId6"/>
    <sheet name="MOTORISTA" sheetId="5" r:id="rId7"/>
    <sheet name="ADM" sheetId="4" r:id="rId8"/>
    <sheet name="LOCA RETRO" sheetId="64" state="hidden" r:id="rId9"/>
    <sheet name="LOCA CAÇAMBA" sheetId="63" state="hidden" r:id="rId10"/>
    <sheet name="CONTAINER 1M" sheetId="78" state="hidden" r:id="rId11"/>
    <sheet name="SOTERRADOS  2M_NAO USAR " sheetId="80" state="hidden" r:id="rId12"/>
    <sheet name="BASCULANTE 1" sheetId="6" state="hidden" r:id="rId13"/>
    <sheet name="BAÚ" sheetId="62" state="hidden" r:id="rId14"/>
    <sheet name="COMPACTADOR 15m³_OK" sheetId="32" state="hidden" r:id="rId15"/>
    <sheet name="COMPACTADOR 19m³ " sheetId="77" state="hidden" r:id="rId16"/>
    <sheet name="DOMICILIAR" sheetId="17" r:id="rId17"/>
    <sheet name="SELETIVA" sheetId="61" state="hidden" r:id="rId18"/>
    <sheet name="LOC LAV CONT" sheetId="79" state="hidden" r:id="rId19"/>
    <sheet name="PREÇOS" sheetId="47" r:id="rId20"/>
    <sheet name="PLANILHA_NAO IMPRIMIR" sheetId="84" state="hidden" r:id="rId21"/>
    <sheet name="BASICA" sheetId="53" r:id="rId22"/>
    <sheet name="PROPOSTA" sheetId="85" state="hidden" r:id="rId23"/>
    <sheet name="QUADRO" sheetId="76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Toc231023065" localSheetId="23">QUADRO!#REF!</definedName>
    <definedName name="_xlnm.Print_Area" localSheetId="7">ADM!$A$1:$B$39</definedName>
    <definedName name="_xlnm.Print_Area" localSheetId="1">BALANÇA!$A$1:$G$31</definedName>
    <definedName name="_xlnm.Print_Area" localSheetId="21">BASICA!$A$1:$G$43</definedName>
    <definedName name="_xlnm.Print_Area" localSheetId="3">COLETOR!$A$1:$B$54</definedName>
    <definedName name="_xlnm.Print_Area" localSheetId="14">'COMPACTADOR 15m³_OK'!$A$1:$B$63</definedName>
    <definedName name="_xlnm.Print_Area" localSheetId="10">'CONTAINER 1M'!$A$1:$C$53</definedName>
    <definedName name="_xlnm.Print_Area" localSheetId="5">FISCAL!$A$1:$B$57</definedName>
    <definedName name="_xlnm.Print_Area" localSheetId="18">'LOC LAV CONT'!$A$1:$F$72</definedName>
    <definedName name="_xlnm.Print_Area" localSheetId="2">OPERAÇÃO!$A$1:$G$26</definedName>
    <definedName name="_xlnm.Print_Area" localSheetId="20">'PLANILHA_NAO IMPRIMIR'!$A$1:$G$34</definedName>
    <definedName name="_xlnm.Print_Area" localSheetId="11">'SOTERRADOS  2M_NAO USAR '!$A$1:$C$51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1" i="77" l="1"/>
  <c r="B63" i="77" s="1"/>
  <c r="B61" i="32"/>
  <c r="B63" i="32"/>
  <c r="F15" i="53"/>
  <c r="E14" i="53"/>
  <c r="E12" i="53"/>
  <c r="G25" i="83" l="1"/>
  <c r="B53" i="78"/>
  <c r="I12" i="53" l="1"/>
  <c r="J8" i="53" l="1"/>
  <c r="B13" i="32"/>
  <c r="J10" i="53"/>
  <c r="J11" i="53"/>
  <c r="J9" i="53"/>
  <c r="F10" i="53"/>
  <c r="G10" i="53" s="1"/>
  <c r="E15" i="53"/>
  <c r="G15" i="53" s="1"/>
  <c r="H33" i="84" l="1"/>
  <c r="I24" i="82" l="1"/>
  <c r="F18" i="82"/>
  <c r="I19" i="82"/>
  <c r="F22" i="82" l="1"/>
  <c r="F10" i="82" l="1"/>
  <c r="G10" i="82" s="1"/>
  <c r="G15" i="82" s="1"/>
  <c r="G18" i="82"/>
  <c r="G22" i="82"/>
  <c r="G26" i="82"/>
  <c r="G27" i="82" l="1"/>
  <c r="G29" i="82" s="1"/>
  <c r="G30" i="82" l="1"/>
  <c r="G31" i="82" s="1"/>
  <c r="B36" i="32"/>
  <c r="B16" i="32"/>
  <c r="B16" i="77" l="1"/>
  <c r="B20" i="77" l="1"/>
  <c r="B41" i="78" l="1"/>
  <c r="B39" i="4" l="1"/>
  <c r="B24" i="4"/>
  <c r="B22" i="4"/>
  <c r="B36" i="1"/>
  <c r="B10" i="1"/>
  <c r="B57" i="5"/>
  <c r="B53" i="5"/>
  <c r="B39" i="5" l="1"/>
  <c r="B38" i="5" l="1"/>
  <c r="B24" i="3"/>
  <c r="C52" i="3"/>
  <c r="B52" i="3"/>
  <c r="B54" i="3" s="1"/>
  <c r="B57" i="3" s="1"/>
  <c r="B39" i="3"/>
  <c r="B29" i="3"/>
  <c r="B26" i="3"/>
  <c r="B23" i="3"/>
  <c r="B18" i="3"/>
  <c r="B14" i="3"/>
  <c r="J25" i="84"/>
  <c r="F25" i="84"/>
  <c r="F26" i="84"/>
  <c r="J26" i="84"/>
  <c r="F21" i="84"/>
  <c r="B37" i="1" l="1"/>
  <c r="B18" i="1"/>
  <c r="B23" i="4"/>
  <c r="G6" i="82" l="1"/>
  <c r="B13" i="77" l="1"/>
  <c r="D35" i="85"/>
  <c r="D28" i="85"/>
  <c r="D27" i="85"/>
  <c r="D23" i="85"/>
  <c r="D22" i="85"/>
  <c r="C12" i="85"/>
  <c r="D11" i="85"/>
  <c r="A11" i="85"/>
  <c r="D9" i="85"/>
  <c r="F46" i="85"/>
  <c r="C8" i="85"/>
  <c r="A1" i="85"/>
  <c r="E30" i="53"/>
  <c r="F16" i="84"/>
  <c r="E25" i="53" s="1"/>
  <c r="F20" i="84"/>
  <c r="E29" i="53" s="1"/>
  <c r="F47" i="85" l="1"/>
  <c r="F48" i="85" s="1"/>
  <c r="F19" i="84" l="1"/>
  <c r="E28" i="53" s="1"/>
  <c r="F31" i="84"/>
  <c r="E39" i="53" s="1"/>
  <c r="F30" i="84"/>
  <c r="E38" i="53" s="1"/>
  <c r="F29" i="84"/>
  <c r="E37" i="53" s="1"/>
  <c r="F28" i="84"/>
  <c r="E36" i="53" s="1"/>
  <c r="F27" i="84"/>
  <c r="E35" i="53" s="1"/>
  <c r="E34" i="53"/>
  <c r="E33" i="53"/>
  <c r="F18" i="84"/>
  <c r="E27" i="53" s="1"/>
  <c r="F15" i="84"/>
  <c r="E24" i="53" s="1"/>
  <c r="F39" i="53" l="1"/>
  <c r="F38" i="53"/>
  <c r="F37" i="53"/>
  <c r="D36" i="53"/>
  <c r="F36" i="53" s="1"/>
  <c r="F35" i="53"/>
  <c r="F34" i="53"/>
  <c r="F33" i="53"/>
  <c r="D30" i="53"/>
  <c r="F30" i="53" s="1"/>
  <c r="F29" i="53"/>
  <c r="D29" i="53"/>
  <c r="F28" i="53"/>
  <c r="F27" i="53"/>
  <c r="D25" i="53"/>
  <c r="F25" i="53" s="1"/>
  <c r="D24" i="53"/>
  <c r="F24" i="53" s="1"/>
  <c r="D12" i="53"/>
  <c r="A12" i="53"/>
  <c r="B8" i="84"/>
  <c r="F31" i="53" l="1"/>
  <c r="F13" i="53"/>
  <c r="G13" i="53" s="1"/>
  <c r="F40" i="53"/>
  <c r="D11" i="83"/>
  <c r="F12" i="83"/>
  <c r="F6" i="82" s="1"/>
  <c r="H19" i="83"/>
  <c r="H18" i="83"/>
  <c r="F9" i="83"/>
  <c r="F41" i="53" l="1"/>
  <c r="G22" i="83"/>
  <c r="E7" i="84" s="1"/>
  <c r="G31" i="84"/>
  <c r="G30" i="84"/>
  <c r="G29" i="84"/>
  <c r="E28" i="84"/>
  <c r="G28" i="84" s="1"/>
  <c r="G27" i="84"/>
  <c r="G26" i="84"/>
  <c r="G25" i="84"/>
  <c r="E21" i="84"/>
  <c r="G21" i="84" s="1"/>
  <c r="E20" i="84"/>
  <c r="G20" i="84" s="1"/>
  <c r="G19" i="84"/>
  <c r="G18" i="84"/>
  <c r="E16" i="84"/>
  <c r="G16" i="84" s="1"/>
  <c r="E15" i="84"/>
  <c r="G15" i="84" s="1"/>
  <c r="G8" i="84"/>
  <c r="G18" i="83"/>
  <c r="G17" i="83"/>
  <c r="G16" i="83"/>
  <c r="G12" i="83"/>
  <c r="E11" i="83"/>
  <c r="G11" i="83" s="1"/>
  <c r="G9" i="83"/>
  <c r="G7" i="83"/>
  <c r="E7" i="83"/>
  <c r="G7" i="82"/>
  <c r="C11" i="85" l="1"/>
  <c r="C12" i="53"/>
  <c r="G22" i="84"/>
  <c r="G32" i="84"/>
  <c r="F19" i="83" l="1"/>
  <c r="G19" i="83" s="1"/>
  <c r="G20" i="83" s="1"/>
  <c r="B37" i="3" l="1"/>
  <c r="C49" i="80"/>
  <c r="C47" i="80"/>
  <c r="C45" i="80"/>
  <c r="C51" i="78"/>
  <c r="C49" i="78"/>
  <c r="C47" i="78"/>
  <c r="D9" i="53" l="1"/>
  <c r="B41" i="80"/>
  <c r="B35" i="80"/>
  <c r="B34" i="80"/>
  <c r="B27" i="80"/>
  <c r="B29" i="80" s="1"/>
  <c r="B20" i="80"/>
  <c r="B22" i="80" s="1"/>
  <c r="B15" i="80"/>
  <c r="B16" i="80" s="1"/>
  <c r="B36" i="80" l="1"/>
  <c r="B43" i="80" s="1"/>
  <c r="F11" i="76" l="1"/>
  <c r="K72" i="79"/>
  <c r="J72" i="79"/>
  <c r="J71" i="79"/>
  <c r="D71" i="79"/>
  <c r="M70" i="79"/>
  <c r="M71" i="79" s="1"/>
  <c r="K70" i="79"/>
  <c r="J70" i="79"/>
  <c r="I46" i="79"/>
  <c r="D44" i="79"/>
  <c r="D42" i="79"/>
  <c r="D43" i="79" s="1"/>
  <c r="D33" i="79"/>
  <c r="D28" i="79"/>
  <c r="D29" i="79" s="1"/>
  <c r="D36" i="79" s="1"/>
  <c r="D54" i="79" s="1"/>
  <c r="D15" i="79"/>
  <c r="D16" i="79" s="1"/>
  <c r="B45" i="80" l="1"/>
  <c r="E11" i="76"/>
  <c r="G11" i="76"/>
  <c r="H11" i="76"/>
  <c r="B47" i="80" l="1"/>
  <c r="B49" i="80" s="1"/>
  <c r="B51" i="80" s="1"/>
  <c r="B15" i="78"/>
  <c r="B16" i="78" s="1"/>
  <c r="B20" i="78"/>
  <c r="B22" i="78" s="1"/>
  <c r="B27" i="78"/>
  <c r="B35" i="78" s="1"/>
  <c r="B36" i="78" s="1"/>
  <c r="B42" i="78"/>
  <c r="B43" i="78" l="1"/>
  <c r="B45" i="78" s="1"/>
  <c r="B29" i="78"/>
  <c r="C8" i="53" l="1"/>
  <c r="B46" i="17"/>
  <c r="B44" i="17"/>
  <c r="B47" i="78" l="1"/>
  <c r="B49" i="78" s="1"/>
  <c r="B51" i="78" s="1"/>
  <c r="F11" i="53" s="1"/>
  <c r="G11" i="53" s="1"/>
  <c r="D40" i="79"/>
  <c r="D41" i="79" s="1"/>
  <c r="D48" i="79" s="1"/>
  <c r="D55" i="79" s="1"/>
  <c r="F9" i="53"/>
  <c r="G9" i="53" s="1"/>
  <c r="B27" i="77"/>
  <c r="B27" i="32"/>
  <c r="B20" i="1" l="1"/>
  <c r="C11" i="76" l="1"/>
  <c r="D11" i="76"/>
  <c r="B15" i="4"/>
  <c r="B14" i="4"/>
  <c r="B49" i="6" l="1"/>
  <c r="B51" i="62"/>
  <c r="B51" i="6" s="1"/>
  <c r="B48" i="62"/>
  <c r="B48" i="6" s="1"/>
  <c r="B50" i="62"/>
  <c r="B50" i="6" s="1"/>
  <c r="B33" i="62"/>
  <c r="A51" i="32"/>
  <c r="B48" i="32"/>
  <c r="B49" i="32"/>
  <c r="B50" i="32"/>
  <c r="B51" i="32"/>
  <c r="B47" i="32"/>
  <c r="B47" i="62" s="1"/>
  <c r="B47" i="6" s="1"/>
  <c r="B41" i="32"/>
  <c r="B51" i="77"/>
  <c r="B41" i="77"/>
  <c r="B43" i="77" s="1"/>
  <c r="B35" i="77"/>
  <c r="B33" i="77"/>
  <c r="B33" i="32" s="1"/>
  <c r="B13" i="62"/>
  <c r="B13" i="6"/>
  <c r="B29" i="77"/>
  <c r="B57" i="77"/>
  <c r="B36" i="77" l="1"/>
  <c r="B22" i="77"/>
  <c r="B52" i="77"/>
  <c r="B53" i="77" s="1"/>
  <c r="B58" i="77"/>
  <c r="B59" i="77" s="1"/>
  <c r="B34" i="4"/>
  <c r="B14" i="5"/>
  <c r="B51" i="1"/>
  <c r="B25" i="3" s="1"/>
  <c r="B53" i="3" s="1"/>
  <c r="B28" i="5" s="1"/>
  <c r="B54" i="5" s="1"/>
  <c r="B19" i="1"/>
  <c r="F37" i="17" l="1"/>
  <c r="F38" i="17" s="1"/>
  <c r="D37" i="17"/>
  <c r="B11" i="76" l="1"/>
  <c r="A1" i="76"/>
  <c r="B35" i="32" l="1"/>
  <c r="B27" i="62"/>
  <c r="B27" i="6"/>
  <c r="D7" i="1"/>
  <c r="B51" i="3" l="1"/>
  <c r="B26" i="5"/>
  <c r="B52" i="5" s="1"/>
  <c r="B23" i="2"/>
  <c r="B49" i="2" s="1"/>
  <c r="B49" i="1"/>
  <c r="B25" i="2" l="1"/>
  <c r="B22" i="2"/>
  <c r="B21" i="2"/>
  <c r="B20" i="2"/>
  <c r="B19" i="2"/>
  <c r="B18" i="2" l="1"/>
  <c r="B21" i="1"/>
  <c r="B17" i="1" s="1"/>
  <c r="B51" i="67" l="1"/>
  <c r="B50" i="67"/>
  <c r="B52" i="67" s="1"/>
  <c r="B33" i="67"/>
  <c r="B27" i="67"/>
  <c r="B29" i="67" s="1"/>
  <c r="B20" i="67"/>
  <c r="B41" i="67" s="1"/>
  <c r="B43" i="67" s="1"/>
  <c r="B16" i="67"/>
  <c r="B35" i="67" l="1"/>
  <c r="B36" i="67" s="1"/>
  <c r="B53" i="67"/>
  <c r="B22" i="67"/>
  <c r="B57" i="67"/>
  <c r="B58" i="67"/>
  <c r="B59" i="67" l="1"/>
  <c r="B61" i="67"/>
  <c r="B63" i="67" s="1"/>
  <c r="A1" i="53" l="1"/>
  <c r="XFD34" i="4"/>
  <c r="B43" i="32"/>
  <c r="B20" i="32"/>
  <c r="B22" i="32" s="1"/>
  <c r="B41" i="62"/>
  <c r="B43" i="62" s="1"/>
  <c r="B20" i="62"/>
  <c r="B22" i="62" s="1"/>
  <c r="B16" i="62"/>
  <c r="B29" i="6"/>
  <c r="B16" i="6"/>
  <c r="B11" i="1"/>
  <c r="B23" i="1" s="1"/>
  <c r="B25" i="1" s="1"/>
  <c r="F56" i="64"/>
  <c r="D43" i="64"/>
  <c r="D41" i="64"/>
  <c r="D32" i="64"/>
  <c r="D31" i="64"/>
  <c r="E30" i="64"/>
  <c r="D30" i="64"/>
  <c r="D29" i="64"/>
  <c r="D28" i="64"/>
  <c r="D27" i="64"/>
  <c r="D26" i="64"/>
  <c r="D25" i="64"/>
  <c r="D24" i="64"/>
  <c r="D23" i="64"/>
  <c r="D22" i="64"/>
  <c r="D21" i="64"/>
  <c r="D15" i="64"/>
  <c r="D16" i="64" s="1"/>
  <c r="D17" i="64" s="1"/>
  <c r="D10" i="64"/>
  <c r="D11" i="64" s="1"/>
  <c r="D12" i="64" s="1"/>
  <c r="F56" i="63"/>
  <c r="D43" i="63"/>
  <c r="D41" i="63"/>
  <c r="D32" i="63"/>
  <c r="D31" i="63"/>
  <c r="E30" i="63"/>
  <c r="D30" i="63"/>
  <c r="D29" i="63"/>
  <c r="D28" i="63"/>
  <c r="D27" i="63"/>
  <c r="D26" i="63"/>
  <c r="D25" i="63"/>
  <c r="B24" i="63"/>
  <c r="D24" i="63" s="1"/>
  <c r="D23" i="63"/>
  <c r="D22" i="63"/>
  <c r="D21" i="63"/>
  <c r="D16" i="63"/>
  <c r="D17" i="63" s="1"/>
  <c r="D45" i="63" l="1"/>
  <c r="D39" i="63" s="1"/>
  <c r="D50" i="63" s="1"/>
  <c r="D33" i="64"/>
  <c r="D35" i="64" s="1"/>
  <c r="D37" i="64" s="1"/>
  <c r="D19" i="64" s="1"/>
  <c r="D51" i="64" s="1"/>
  <c r="D45" i="64"/>
  <c r="D39" i="64" s="1"/>
  <c r="D50" i="64" s="1"/>
  <c r="B13" i="1"/>
  <c r="D33" i="63"/>
  <c r="D35" i="63" s="1"/>
  <c r="D7" i="64"/>
  <c r="D49" i="64" s="1"/>
  <c r="B27" i="1" l="1"/>
  <c r="D37" i="63"/>
  <c r="D19" i="63" s="1"/>
  <c r="D51" i="63" s="1"/>
  <c r="D52" i="64"/>
  <c r="F59" i="64" s="1"/>
  <c r="F61" i="64" s="1"/>
  <c r="F64" i="64" s="1"/>
  <c r="D68" i="64" s="1"/>
  <c r="D70" i="64" s="1"/>
  <c r="D9" i="79" l="1"/>
  <c r="D10" i="79" s="1"/>
  <c r="D11" i="79" s="1"/>
  <c r="F10" i="83"/>
  <c r="G10" i="83" s="1"/>
  <c r="D10" i="63"/>
  <c r="D11" i="63" s="1"/>
  <c r="D12" i="63" s="1"/>
  <c r="D7" i="63" s="1"/>
  <c r="D49" i="63" s="1"/>
  <c r="D52" i="63" s="1"/>
  <c r="F59" i="63" s="1"/>
  <c r="F61" i="63" s="1"/>
  <c r="F64" i="63" s="1"/>
  <c r="D68" i="63" s="1"/>
  <c r="D70" i="63" s="1"/>
  <c r="B11" i="2"/>
  <c r="B36" i="2" s="1"/>
  <c r="D29" i="61"/>
  <c r="B58" i="62"/>
  <c r="B57" i="62"/>
  <c r="B35" i="62"/>
  <c r="D48" i="17"/>
  <c r="D46" i="17"/>
  <c r="D44" i="17"/>
  <c r="B33" i="6"/>
  <c r="B49" i="3"/>
  <c r="B50" i="3"/>
  <c r="B40" i="3"/>
  <c r="B45" i="1"/>
  <c r="B39" i="1"/>
  <c r="B42" i="5" s="1"/>
  <c r="B20" i="6"/>
  <c r="B22" i="6" s="1"/>
  <c r="B35" i="6"/>
  <c r="B52" i="6"/>
  <c r="B46" i="1"/>
  <c r="B47" i="1"/>
  <c r="B48" i="1"/>
  <c r="B35" i="1"/>
  <c r="B29" i="32"/>
  <c r="B52" i="32"/>
  <c r="B45" i="17"/>
  <c r="D45" i="17" s="1"/>
  <c r="B12" i="3"/>
  <c r="B13" i="3"/>
  <c r="B41" i="3" s="1"/>
  <c r="B19" i="3"/>
  <c r="B47" i="3" s="1"/>
  <c r="B20" i="3"/>
  <c r="B48" i="3"/>
  <c r="F31" i="61"/>
  <c r="B35" i="61"/>
  <c r="D35" i="61"/>
  <c r="D36" i="61"/>
  <c r="B37" i="61"/>
  <c r="D37" i="61" s="1"/>
  <c r="D38" i="61"/>
  <c r="B39" i="61"/>
  <c r="D39" i="61" s="1"/>
  <c r="D40" i="61"/>
  <c r="B16" i="5"/>
  <c r="B22" i="5"/>
  <c r="B48" i="5" s="1"/>
  <c r="B23" i="5"/>
  <c r="B49" i="5" s="1"/>
  <c r="B40" i="5"/>
  <c r="B50" i="5"/>
  <c r="B10" i="2"/>
  <c r="B15" i="5"/>
  <c r="B27" i="5" s="1"/>
  <c r="B13" i="2"/>
  <c r="B45" i="2"/>
  <c r="B46" i="2"/>
  <c r="B47" i="2"/>
  <c r="B48" i="2"/>
  <c r="B57" i="32"/>
  <c r="B58" i="32"/>
  <c r="B44" i="2"/>
  <c r="F13" i="61"/>
  <c r="F14" i="61"/>
  <c r="F15" i="61" s="1"/>
  <c r="D13" i="17"/>
  <c r="D15" i="17" s="1"/>
  <c r="D13" i="61"/>
  <c r="D14" i="61" s="1"/>
  <c r="D15" i="61" s="1"/>
  <c r="B29" i="62"/>
  <c r="B52" i="62"/>
  <c r="B36" i="6" l="1"/>
  <c r="B35" i="2"/>
  <c r="B39" i="2"/>
  <c r="B41" i="5"/>
  <c r="B42" i="3"/>
  <c r="B53" i="62"/>
  <c r="B21" i="5"/>
  <c r="B47" i="5"/>
  <c r="B46" i="3"/>
  <c r="B53" i="6"/>
  <c r="B49" i="17"/>
  <c r="D49" i="17" s="1"/>
  <c r="B41" i="61"/>
  <c r="D41" i="61" s="1"/>
  <c r="D42" i="61" s="1"/>
  <c r="D44" i="61" s="1"/>
  <c r="B47" i="17"/>
  <c r="D47" i="17" s="1"/>
  <c r="B53" i="32"/>
  <c r="B36" i="62"/>
  <c r="B59" i="62"/>
  <c r="B44" i="1"/>
  <c r="B17" i="5"/>
  <c r="B38" i="2"/>
  <c r="B57" i="6"/>
  <c r="B41" i="6"/>
  <c r="B43" i="6" s="1"/>
  <c r="B58" i="6"/>
  <c r="B59" i="32"/>
  <c r="B38" i="1"/>
  <c r="B50" i="1" s="1"/>
  <c r="B12" i="2"/>
  <c r="D14" i="17"/>
  <c r="B55" i="5" l="1"/>
  <c r="B43" i="5"/>
  <c r="F25" i="17" s="1"/>
  <c r="F27" i="17" s="1"/>
  <c r="F19" i="17"/>
  <c r="F21" i="17" s="1"/>
  <c r="D50" i="17"/>
  <c r="D52" i="17" s="1"/>
  <c r="D54" i="17" s="1"/>
  <c r="D42" i="17" s="1"/>
  <c r="D60" i="17" s="1"/>
  <c r="B61" i="62"/>
  <c r="B63" i="62" s="1"/>
  <c r="D34" i="17"/>
  <c r="D35" i="17" s="1"/>
  <c r="B29" i="5"/>
  <c r="B31" i="5" s="1"/>
  <c r="D46" i="61"/>
  <c r="D33" i="61" s="1"/>
  <c r="D51" i="61" s="1"/>
  <c r="D16" i="17"/>
  <c r="B40" i="2"/>
  <c r="C50" i="2"/>
  <c r="B14" i="2"/>
  <c r="C24" i="2"/>
  <c r="B59" i="6"/>
  <c r="B61" i="6" s="1"/>
  <c r="B40" i="1"/>
  <c r="D18" i="61" l="1"/>
  <c r="D19" i="61" s="1"/>
  <c r="D20" i="61" s="1"/>
  <c r="F8" i="83"/>
  <c r="G8" i="83" s="1"/>
  <c r="G13" i="83" s="1"/>
  <c r="D25" i="17"/>
  <c r="D27" i="17" s="1"/>
  <c r="D19" i="79"/>
  <c r="D20" i="79" s="1"/>
  <c r="D21" i="79" s="1"/>
  <c r="D23" i="79" s="1"/>
  <c r="D53" i="79" s="1"/>
  <c r="D56" i="79" s="1"/>
  <c r="F20" i="17"/>
  <c r="F22" i="17" s="1"/>
  <c r="F34" i="17"/>
  <c r="D30" i="61"/>
  <c r="D31" i="61" s="1"/>
  <c r="D27" i="61" s="1"/>
  <c r="D50" i="61" s="1"/>
  <c r="D19" i="17"/>
  <c r="D21" i="17" s="1"/>
  <c r="D23" i="61"/>
  <c r="F24" i="61" s="1"/>
  <c r="F25" i="61" s="1"/>
  <c r="F23" i="61"/>
  <c r="D24" i="61" s="1"/>
  <c r="D25" i="61" s="1"/>
  <c r="B24" i="2"/>
  <c r="B26" i="2" s="1"/>
  <c r="B28" i="2" s="1"/>
  <c r="B52" i="1"/>
  <c r="B50" i="2"/>
  <c r="B52" i="2" s="1"/>
  <c r="B54" i="2" s="1"/>
  <c r="F26" i="17"/>
  <c r="F28" i="17" s="1"/>
  <c r="B63" i="6"/>
  <c r="B54" i="1" l="1"/>
  <c r="F13" i="17" s="1"/>
  <c r="G21" i="83"/>
  <c r="G23" i="83" s="1"/>
  <c r="G24" i="83" s="1"/>
  <c r="F7" i="84" s="1"/>
  <c r="D26" i="17"/>
  <c r="D28" i="17" s="1"/>
  <c r="D20" i="17"/>
  <c r="D10" i="61"/>
  <c r="D49" i="61" s="1"/>
  <c r="D52" i="61" s="1"/>
  <c r="D38" i="17"/>
  <c r="F35" i="17"/>
  <c r="F15" i="17" l="1"/>
  <c r="F14" i="17"/>
  <c r="G7" i="84"/>
  <c r="G9" i="84" s="1"/>
  <c r="G10" i="84" s="1"/>
  <c r="G33" i="84" s="1"/>
  <c r="D30" i="17"/>
  <c r="D59" i="17" s="1"/>
  <c r="D22" i="17"/>
  <c r="F16" i="17"/>
  <c r="F12" i="53" l="1"/>
  <c r="G12" i="53" s="1"/>
  <c r="J13" i="53" s="1"/>
  <c r="J14" i="53" s="1"/>
  <c r="J12" i="53"/>
  <c r="K12" i="53" s="1"/>
  <c r="D10" i="17"/>
  <c r="D58" i="17" s="1"/>
  <c r="D61" i="17" s="1"/>
  <c r="F14" i="53" l="1"/>
  <c r="G14" i="53" s="1"/>
  <c r="F59" i="79"/>
  <c r="F62" i="79" s="1"/>
  <c r="F64" i="79" s="1"/>
  <c r="F67" i="79" s="1"/>
  <c r="D70" i="79" s="1"/>
  <c r="D72" i="79" s="1"/>
  <c r="F55" i="61"/>
  <c r="F58" i="61" s="1"/>
  <c r="F60" i="61" s="1"/>
  <c r="F63" i="61" s="1"/>
  <c r="D66" i="61" s="1"/>
  <c r="D68" i="61" s="1"/>
  <c r="F67" i="17"/>
  <c r="F69" i="17" s="1"/>
  <c r="F72" i="17" s="1"/>
  <c r="D75" i="17" s="1"/>
  <c r="D77" i="17" s="1"/>
  <c r="E8" i="53" s="1"/>
  <c r="F8" i="53" s="1"/>
  <c r="G8" i="53" s="1"/>
  <c r="I53" i="79"/>
  <c r="I55" i="79"/>
  <c r="I54" i="79"/>
  <c r="G16" i="53" l="1"/>
  <c r="I8" i="53" l="1"/>
  <c r="I9" i="53" s="1"/>
  <c r="I16" i="53"/>
</calcChain>
</file>

<file path=xl/sharedStrings.xml><?xml version="1.0" encoding="utf-8"?>
<sst xmlns="http://schemas.openxmlformats.org/spreadsheetml/2006/main" count="1488" uniqueCount="484">
  <si>
    <t>COMPOSIÇÃO DE PREÇOS UNITÁRIOS</t>
  </si>
  <si>
    <t>A - MÃO DE OBRA</t>
  </si>
  <si>
    <t xml:space="preserve">   A1 - Salário Mensal do Coletor</t>
  </si>
  <si>
    <t xml:space="preserve">   A2 - Insalubridade (40%)</t>
  </si>
  <si>
    <t xml:space="preserve">   A3 - Subtotal</t>
  </si>
  <si>
    <t xml:space="preserve">   A4 - Encargos Sociais (Em %)</t>
  </si>
  <si>
    <t xml:space="preserve">   A5 - CUSTO MENSAL COM MÃO-DE-OBRA</t>
  </si>
  <si>
    <t xml:space="preserve">   </t>
  </si>
  <si>
    <t xml:space="preserve"> </t>
  </si>
  <si>
    <t>C - CUSTO DIRETO MENSAL</t>
  </si>
  <si>
    <t xml:space="preserve">   A2 - Insalubridade (20%)</t>
  </si>
  <si>
    <t xml:space="preserve">   A1 - Salário Mensal do Fiscal</t>
  </si>
  <si>
    <t xml:space="preserve">   A2 - Número de Pessoas</t>
  </si>
  <si>
    <t xml:space="preserve">   A4 - Número de Pessoas</t>
  </si>
  <si>
    <t>COMPOSIÇÃO AUXILIAR - CAMINHÃO BASCULANTE 6M³</t>
  </si>
  <si>
    <t>A - DEPRECIAÇÃO</t>
  </si>
  <si>
    <t xml:space="preserve">   A2 - Vida Útil do Equipamento (Em meses)</t>
  </si>
  <si>
    <t xml:space="preserve">   A3 - Valor Residual (Em Percentual)</t>
  </si>
  <si>
    <t xml:space="preserve">   A4 - CUSTO DE PROPRIEDADE HORÁRIO</t>
  </si>
  <si>
    <t xml:space="preserve">B - CUSTO DO CAPITAL IMOBILIZADO </t>
  </si>
  <si>
    <t xml:space="preserve">   B1 - Custo de Aquisição</t>
  </si>
  <si>
    <t xml:space="preserve">   B2 - Taxa de Juros Mensal</t>
  </si>
  <si>
    <t xml:space="preserve">   B3 - CUSTO MENSAL COM JUROS</t>
  </si>
  <si>
    <t>C - COMBUSTÍVEL</t>
  </si>
  <si>
    <t xml:space="preserve">   C1 - Preço de Um Litro de Óleo Diesel</t>
  </si>
  <si>
    <t xml:space="preserve">   C3 - Número de Km Rodados com Um Litro</t>
  </si>
  <si>
    <t xml:space="preserve">   C4 - CUSTO COM COMBUSTÍVEL MENSAL</t>
  </si>
  <si>
    <t>D - PNEUS</t>
  </si>
  <si>
    <t xml:space="preserve">   D2 - Kilometros Rodados Com um Rodízio</t>
  </si>
  <si>
    <t xml:space="preserve">   D4 - CUSTO COM PNEUS E CÂMARAS</t>
  </si>
  <si>
    <t>E - MANUTENÇÃO</t>
  </si>
  <si>
    <t xml:space="preserve">   E1 - Custo de Manutenção na Vida Útil (Em %)</t>
  </si>
  <si>
    <t xml:space="preserve">   E2 - Custo do Equipamento</t>
  </si>
  <si>
    <t xml:space="preserve">   E3 - Vida Útil do Equipamento (Em Meses)</t>
  </si>
  <si>
    <t xml:space="preserve">   E4 - CUSTO DE MANUTENÇÃO POR MES</t>
  </si>
  <si>
    <t>1.0 - CUSTO DA MÃO DE OBRA</t>
  </si>
  <si>
    <t>un</t>
  </si>
  <si>
    <t>R$/unidade</t>
  </si>
  <si>
    <t>total mensal com varredor</t>
  </si>
  <si>
    <t>R$</t>
  </si>
  <si>
    <t>Fiscal/Encarregado</t>
  </si>
  <si>
    <t>valor mensal de um fiscal</t>
  </si>
  <si>
    <t>total mensal com fiscal</t>
  </si>
  <si>
    <t>Subtotal</t>
  </si>
  <si>
    <t>m</t>
  </si>
  <si>
    <t>R$/mes</t>
  </si>
  <si>
    <t>Custo Total</t>
  </si>
  <si>
    <t xml:space="preserve"> de ADMINISTRAÇÃO / MANUTENÇÃO</t>
  </si>
  <si>
    <t>do faturamento</t>
  </si>
  <si>
    <t>FATURAMENTO</t>
  </si>
  <si>
    <t>Unidade mensal</t>
  </si>
  <si>
    <t>Custo/unid</t>
  </si>
  <si>
    <t>valor mensal de um coletor</t>
  </si>
  <si>
    <t>Total de Fiscal/Encarregados</t>
  </si>
  <si>
    <t>Motorista</t>
  </si>
  <si>
    <t>valor mensal de um motorista</t>
  </si>
  <si>
    <t>total mensal com motorista</t>
  </si>
  <si>
    <t>Total de Motoristas</t>
  </si>
  <si>
    <t>valor mensal de um veículo</t>
  </si>
  <si>
    <t>meses</t>
  </si>
  <si>
    <t>Amortização mensal</t>
  </si>
  <si>
    <t>Juros do capital para aquisição</t>
  </si>
  <si>
    <t>Equipamentos</t>
  </si>
  <si>
    <t>4.0 RESUMO DOS CUSTOS</t>
  </si>
  <si>
    <t>Ferramentas</t>
  </si>
  <si>
    <t>5.0 DESPESAS ADMINISTRATIVAS</t>
  </si>
  <si>
    <t>7.0 SUBTOTAL</t>
  </si>
  <si>
    <t>9.0 CUSTO/UNIDADE</t>
  </si>
  <si>
    <t>Mão de obra</t>
  </si>
  <si>
    <t>Sub - total</t>
  </si>
  <si>
    <t>Prazo do contrato em meses</t>
  </si>
  <si>
    <t>R$/Mês</t>
  </si>
  <si>
    <t>Taxa de juros mensais</t>
  </si>
  <si>
    <t>-</t>
  </si>
  <si>
    <t>F - CUSTO COM LAVAGEM E LUBRIFICAÇÃO</t>
  </si>
  <si>
    <t xml:space="preserve">   F1 -  Óleo de Motor</t>
  </si>
  <si>
    <t xml:space="preserve">   F2 - Óleo de Transmissão</t>
  </si>
  <si>
    <t xml:space="preserve">   F3 - Óleo Hidraúlico</t>
  </si>
  <si>
    <t xml:space="preserve">   F4 - Graxa</t>
  </si>
  <si>
    <t xml:space="preserve">   F6 - Filtros ( 15 % do Valor Total )</t>
  </si>
  <si>
    <t xml:space="preserve">   F7 - CUSTO C/ LAVAGEM E LUBRIFICAÇÃO MENSAL</t>
  </si>
  <si>
    <t>G - CUSTO COM LICENCIAMENTO</t>
  </si>
  <si>
    <t xml:space="preserve">   G3 - CUSTO COM LICENCIAMENTO</t>
  </si>
  <si>
    <t>H - CUSTO DIRETO MENSAL</t>
  </si>
  <si>
    <t>3.0 - FERRAMENTAS</t>
  </si>
  <si>
    <t>Lutocar</t>
  </si>
  <si>
    <t>valor mensal de um gari</t>
  </si>
  <si>
    <t>2.0 - EQUIPAMENTOS</t>
  </si>
  <si>
    <t>Coletor</t>
  </si>
  <si>
    <t>2.0 - FERRAMENTAS</t>
  </si>
  <si>
    <t>B - FARDAMENTO / ALIMENTAÇÃO</t>
  </si>
  <si>
    <t>total mensal com coletor</t>
  </si>
  <si>
    <t>Total de Coletor</t>
  </si>
  <si>
    <t>Total com compactador</t>
  </si>
  <si>
    <t xml:space="preserve">   A1 - Salário Mensal de Pessoal Administrativo</t>
  </si>
  <si>
    <t xml:space="preserve">   A5 - Salário Mensal de Estagiários</t>
  </si>
  <si>
    <t xml:space="preserve">   A6 - Número de Pessoas</t>
  </si>
  <si>
    <t>COMPOSIÇÃO AUXILIAR - DESPESAS ADMINISTRATIVAS</t>
  </si>
  <si>
    <t xml:space="preserve">   D1 - Preço de um rodízio de pneus ( 6 pneus completos)</t>
  </si>
  <si>
    <t>Item</t>
  </si>
  <si>
    <t>Descrição</t>
  </si>
  <si>
    <t>Pr. Unitário</t>
  </si>
  <si>
    <t>Garfo</t>
  </si>
  <si>
    <t>Pa</t>
  </si>
  <si>
    <t>Gadanho</t>
  </si>
  <si>
    <t>Vassourão</t>
  </si>
  <si>
    <t>Enxada</t>
  </si>
  <si>
    <t>Cone</t>
  </si>
  <si>
    <t>Balde/brocha</t>
  </si>
  <si>
    <t>Foice</t>
  </si>
  <si>
    <t>Chibanca</t>
  </si>
  <si>
    <t>Ciscador</t>
  </si>
  <si>
    <t>Estrovenga</t>
  </si>
  <si>
    <t>Sacos 100l</t>
  </si>
  <si>
    <t>Colete Refletivo</t>
  </si>
  <si>
    <t xml:space="preserve">Fardas </t>
  </si>
  <si>
    <t>Luvas</t>
  </si>
  <si>
    <t>Sapatos</t>
  </si>
  <si>
    <t>Carro de mao</t>
  </si>
  <si>
    <t>Cone (grande)</t>
  </si>
  <si>
    <t xml:space="preserve">   B1 - Fardamento Mensal </t>
  </si>
  <si>
    <t xml:space="preserve">Pá </t>
  </si>
  <si>
    <t>unid</t>
  </si>
  <si>
    <t xml:space="preserve">Garfo </t>
  </si>
  <si>
    <t xml:space="preserve">Vassourão </t>
  </si>
  <si>
    <t xml:space="preserve">Gadanho </t>
  </si>
  <si>
    <t xml:space="preserve">Enxada </t>
  </si>
  <si>
    <t>Carro de mão</t>
  </si>
  <si>
    <t xml:space="preserve">Ciscador </t>
  </si>
  <si>
    <t xml:space="preserve">Estrovenga </t>
  </si>
  <si>
    <t>Cal/hidracor</t>
  </si>
  <si>
    <t xml:space="preserve">Foice </t>
  </si>
  <si>
    <t>kg</t>
  </si>
  <si>
    <t xml:space="preserve">Balde/brocha </t>
  </si>
  <si>
    <t xml:space="preserve">Cal/hidracor </t>
  </si>
  <si>
    <t>Vida útil em meses</t>
  </si>
  <si>
    <t>Adicional de domingos e feriados</t>
  </si>
  <si>
    <t xml:space="preserve">   B1 - Fardamento Mensal</t>
  </si>
  <si>
    <t xml:space="preserve">   A7 - Subtotal</t>
  </si>
  <si>
    <t xml:space="preserve">   A8 - Encargos Sociais (Em %)</t>
  </si>
  <si>
    <t xml:space="preserve">   A9 - CUSTO MENSAL COM MÃO-DE-OBRA</t>
  </si>
  <si>
    <t xml:space="preserve">   A1 - Preço de Aquisição (CHASSIS + CAÇAMBA)</t>
  </si>
  <si>
    <t xml:space="preserve">   G2 - IPVA/Seguro Obrigatório</t>
  </si>
  <si>
    <t xml:space="preserve">   G1 - SEGURO</t>
  </si>
  <si>
    <t xml:space="preserve">   A1 - Preço de Aquisição (CHASSIS + COMPACTADOR)</t>
  </si>
  <si>
    <t>COMPOSIÇÃO AUXILIAR - AGENTE DE VARRIÇÃO, CAPINAÇÃO E SERVIÇOS</t>
  </si>
  <si>
    <t>COMPOSIÇÃO AUXILIAR - COLETOR (TURNO NOTURNO)</t>
  </si>
  <si>
    <t xml:space="preserve">   A4 - Subtotal</t>
  </si>
  <si>
    <t xml:space="preserve">   A5 - Encargos Sociais (Em %)</t>
  </si>
  <si>
    <t xml:space="preserve">   A6 - CUSTO MENSAL COM MÃO-DE-OBRA</t>
  </si>
  <si>
    <t xml:space="preserve">   A3 - Adicional noturno </t>
  </si>
  <si>
    <t>COMPOSIÇÃO AUXILIAR - MOTORISTA (NOTURNO)</t>
  </si>
  <si>
    <t xml:space="preserve">          B1.1 - Fardamento completo</t>
  </si>
  <si>
    <t xml:space="preserve">          B1.2 - Calçado Tipo Kichute/Vulcabrás</t>
  </si>
  <si>
    <t xml:space="preserve">          B1.3 - Luvas </t>
  </si>
  <si>
    <t xml:space="preserve">          B1.4 - Colete refletivo </t>
  </si>
  <si>
    <t>3.0 - FERRAMENTAS/ INSUMOS</t>
  </si>
  <si>
    <t xml:space="preserve"> de ADMINISTRAÇÃO/INSTALAÇÕES/MANUTENÇÃO</t>
  </si>
  <si>
    <t>13</t>
  </si>
  <si>
    <t>14</t>
  </si>
  <si>
    <t>15</t>
  </si>
  <si>
    <t>16</t>
  </si>
  <si>
    <t>17</t>
  </si>
  <si>
    <t>18</t>
  </si>
  <si>
    <t>19</t>
  </si>
  <si>
    <t>20</t>
  </si>
  <si>
    <t xml:space="preserve">   B2 - Alimentação (Cesta básica/Café da manhã)</t>
  </si>
  <si>
    <t xml:space="preserve">                                          COMPLEMENTARES (TURNO NOTURNO)</t>
  </si>
  <si>
    <t xml:space="preserve">   A1 - Salário Mensal do Motorista (SINDCARGAS)</t>
  </si>
  <si>
    <t>Agente de capinação</t>
  </si>
  <si>
    <t>Roçadeira costal</t>
  </si>
  <si>
    <t xml:space="preserve">COLETA DE PREÇOS </t>
  </si>
  <si>
    <t xml:space="preserve">   A1 - Salário Mensal do Motorista </t>
  </si>
  <si>
    <t xml:space="preserve">   A0 - Salário Mensal de Gerente</t>
  </si>
  <si>
    <t>PLANILHA DE PREÇOS MÁXIMOS ADMITIDOS</t>
  </si>
  <si>
    <t>ITEM</t>
  </si>
  <si>
    <t>SERVIÇO</t>
  </si>
  <si>
    <t>QUANT.</t>
  </si>
  <si>
    <t>UNID.</t>
  </si>
  <si>
    <t>P.UNITÁRIO</t>
  </si>
  <si>
    <t>PREÇO TOTAL</t>
  </si>
  <si>
    <t>ton</t>
  </si>
  <si>
    <t>B -  INSTALAÇÕES</t>
  </si>
  <si>
    <t xml:space="preserve">   B0 - Aluguel de Escritório</t>
  </si>
  <si>
    <t xml:space="preserve">   B3 - CUSTO MENSAL COM INSTALAÇÕES</t>
  </si>
  <si>
    <t>01</t>
  </si>
  <si>
    <r>
      <t>COMPOSIÇÃO AUXILIAR - CAMINHÃO COMPACTADOR - 15 m</t>
    </r>
    <r>
      <rPr>
        <b/>
        <vertAlign val="superscript"/>
        <sz val="10"/>
        <color indexed="8"/>
        <rFont val="Arial"/>
        <family val="2"/>
      </rPr>
      <t>3</t>
    </r>
  </si>
  <si>
    <t>Contentores 240 Litros</t>
  </si>
  <si>
    <t>R$/ton</t>
  </si>
  <si>
    <t xml:space="preserve">   F5 - Lavagem  ( 8 LAVAGENS A R$ 10,00)</t>
  </si>
  <si>
    <t>H - CUSTO DIRETO MENSAL DIURNO</t>
  </si>
  <si>
    <t>H - CUSTO DIRETO MENSAL NOTURNO</t>
  </si>
  <si>
    <t>DIURNO</t>
  </si>
  <si>
    <t>NOTURNO</t>
  </si>
  <si>
    <t>2 - Coleta e transporte de resíduos domiciliares, comerciais e de varrição</t>
  </si>
  <si>
    <t>02</t>
  </si>
  <si>
    <t xml:space="preserve">   C2 - Kilometros Rodados num Mês 90 x 26</t>
  </si>
  <si>
    <t>diurno</t>
  </si>
  <si>
    <t>Total de coletores</t>
  </si>
  <si>
    <t>noturno</t>
  </si>
  <si>
    <t>Pá</t>
  </si>
  <si>
    <t xml:space="preserve">Cone </t>
  </si>
  <si>
    <t>Roçadeira</t>
  </si>
  <si>
    <t xml:space="preserve">   D3 - Kilometros Rodados num Mes 90 x 26</t>
  </si>
  <si>
    <t>8.0 PIS, COFINS, ISS , CSSL</t>
  </si>
  <si>
    <t>6.0 ADMINISTRAÇÃO CENTRAL + LUCRO</t>
  </si>
  <si>
    <t>QUADRO DE PESSOAL/EQUIPAMENTOS MÍNIMOS</t>
  </si>
  <si>
    <t>FISCAL</t>
  </si>
  <si>
    <t>MOTORISTA</t>
  </si>
  <si>
    <t>Locação de furgão baú tipo fiorino ou similar</t>
  </si>
  <si>
    <t>Total com furgão baú</t>
  </si>
  <si>
    <t>PREFEITURA MUNICIPAL DE VARZEA GRANDE</t>
  </si>
  <si>
    <t xml:space="preserve">   B4 - SEGURO DE VIDA</t>
  </si>
  <si>
    <t xml:space="preserve">   B1+ B2 + B3 = B4- CUSTO MENSAL </t>
  </si>
  <si>
    <t>COMPOSIÇÃO AUXILIAR - FISCAL SERVIÇO NOTURNO</t>
  </si>
  <si>
    <t xml:space="preserve">   A3 - Salário Mensal de Vigilantes</t>
  </si>
  <si>
    <t>Caminhão baú (inclusive combustivel e manutenção)</t>
  </si>
  <si>
    <t>R$/EQUIPE</t>
  </si>
  <si>
    <t xml:space="preserve">EQUIPE/MÊS </t>
  </si>
  <si>
    <t>COMPOSIÇÃO AUXILIAR - CAMINHÃO BAÚ/CARROCERIA</t>
  </si>
  <si>
    <t>AGENTE</t>
  </si>
  <si>
    <t>7 -Caçamba basculante para remoção de material produzido pelas equipes</t>
  </si>
  <si>
    <t>Total de motoristas</t>
  </si>
  <si>
    <t>3.0 - EQUIPAMENTOS</t>
  </si>
  <si>
    <t>Caçamba basculante</t>
  </si>
  <si>
    <t>Locaçao de retro escavadeira</t>
  </si>
  <si>
    <t>Caminhão carroceria</t>
  </si>
  <si>
    <t>Locaçao de Onibus para transporte de pessoal</t>
  </si>
  <si>
    <t>Total com equipamentos</t>
  </si>
  <si>
    <t>diária/caçambas</t>
  </si>
  <si>
    <t>R$/diárias</t>
  </si>
  <si>
    <t>7 - Locação de retro escavadeira</t>
  </si>
  <si>
    <t>horas/retro</t>
  </si>
  <si>
    <t>R$/hora</t>
  </si>
  <si>
    <t>8 - Coleta seletiva e operação de central de triagem</t>
  </si>
  <si>
    <t xml:space="preserve">   B3 - TICKET+VALE TRANSPORTE</t>
  </si>
  <si>
    <t>vale transporte</t>
  </si>
  <si>
    <t xml:space="preserve">   C2 - Kilometros Rodados num Mês 70 x 26 (PREVISÃO)</t>
  </si>
  <si>
    <t xml:space="preserve">   D3 - Kilometros Rodados num Mes 70 x 26 (PREVISÃO)</t>
  </si>
  <si>
    <t xml:space="preserve">   D3 - Kilometros Rodados num Mês 70 x 26 (MÉDIA)</t>
  </si>
  <si>
    <t xml:space="preserve">                                          COMPLEMENTARES (SALÁRIO E VANTAGENS DA CATEGORIA + 6,678%)</t>
  </si>
  <si>
    <t>COMPACTADOR 15m³</t>
  </si>
  <si>
    <t xml:space="preserve">COMPOSIÇÃO AUXILIAR - COLETOR </t>
  </si>
  <si>
    <t>Operação do destino final/mitigação de impactos ambientais</t>
  </si>
  <si>
    <t xml:space="preserve">de referência </t>
  </si>
  <si>
    <t xml:space="preserve">   B2 - Alimentação (Ticket)</t>
  </si>
  <si>
    <t xml:space="preserve">   B3 - VALE TRANSPORTE</t>
  </si>
  <si>
    <t xml:space="preserve">COMPOSIÇÃO AUXILIAR - FISCAL </t>
  </si>
  <si>
    <t xml:space="preserve">   B2 - Alimentação (TICKET)</t>
  </si>
  <si>
    <t xml:space="preserve">COMPOSIÇÃO AUXILIAR - MOTORISTA </t>
  </si>
  <si>
    <t xml:space="preserve">   B1 - Luz/Água/Telefone/Taxas e Emolumentos</t>
  </si>
  <si>
    <t xml:space="preserve">   B2 - Veículo fiscalização+combustível</t>
  </si>
  <si>
    <t xml:space="preserve">   B3 - Veículo Manutenção+comnbustível</t>
  </si>
  <si>
    <r>
      <t>COMPOSIÇÃO AUXILIAR - CAMINHÃO COMPACTADOR - 19 m</t>
    </r>
    <r>
      <rPr>
        <b/>
        <vertAlign val="superscript"/>
        <sz val="10"/>
        <color indexed="8"/>
        <rFont val="Arial"/>
        <family val="2"/>
      </rPr>
      <t>3</t>
    </r>
  </si>
  <si>
    <t xml:space="preserve">   F5 - Lavagem  ( 16 LAVAGENS A R$ 19,00)</t>
  </si>
  <si>
    <t xml:space="preserve">   F5 - Lavagem  ( 8 LAVAGENS A R$ 19,00)</t>
  </si>
  <si>
    <t>,</t>
  </si>
  <si>
    <t xml:space="preserve">   A1 - Salário Mensal de Supervisor</t>
  </si>
  <si>
    <t>Caminhão compactador 15 m³ (2 unidades de reserva)</t>
  </si>
  <si>
    <t xml:space="preserve">   C2 - Kilometros Rodados num Mês 90 x 26 (MÉDIA)</t>
  </si>
  <si>
    <t>COMP.</t>
  </si>
  <si>
    <t>VALOR GLOBAL (12 MESES)</t>
  </si>
  <si>
    <t>Caminhão compactador 19m³ (1 UNIDADE RESERVA)</t>
  </si>
  <si>
    <t>R$/mês</t>
  </si>
  <si>
    <t xml:space="preserve">   D4 - CUSTO COM PNEUS </t>
  </si>
  <si>
    <t>Km/mês</t>
  </si>
  <si>
    <t xml:space="preserve">   D3 - Kilometros Rodados num Mes 180 x 26</t>
  </si>
  <si>
    <t>Km</t>
  </si>
  <si>
    <t xml:space="preserve">   D1 - Preço de um rodízio de pneus (12 pneus completos)</t>
  </si>
  <si>
    <t>Km/l</t>
  </si>
  <si>
    <t xml:space="preserve">   C2 - Kilometros Rodados num Mês (180 x 26)</t>
  </si>
  <si>
    <t>R$/l</t>
  </si>
  <si>
    <t xml:space="preserve">   C1 - Preço de Um Litro de diesel</t>
  </si>
  <si>
    <t xml:space="preserve">   A5 - CUSTO MENSAL</t>
  </si>
  <si>
    <t xml:space="preserve">   A4 - Valor Residual (R$)</t>
  </si>
  <si>
    <t xml:space="preserve">   A1 - Preço de Aquisição </t>
  </si>
  <si>
    <t>Data: 12/09/06</t>
  </si>
  <si>
    <t xml:space="preserve">EDITAL DE DE CONCORRÊNCIA N° </t>
  </si>
  <si>
    <t>PREFEITURA MUNICIPAL DE SALGUEIRO</t>
  </si>
  <si>
    <t>LOCAÇÃO DE CONTEINER DE 1.000 LITROS</t>
  </si>
  <si>
    <t>UND</t>
  </si>
  <si>
    <t>COMPACTADOR 19m³</t>
  </si>
  <si>
    <t>TOTAL DE MÃO DE OBRA</t>
  </si>
  <si>
    <t>Caminhão equipado com lava container</t>
  </si>
  <si>
    <t>un.            (13 dias em 26 trabalhados)</t>
  </si>
  <si>
    <t>Total com lava container</t>
  </si>
  <si>
    <t>Caçambas 5 m3</t>
  </si>
  <si>
    <t>TOTAL EQUIPAMENTOS</t>
  </si>
  <si>
    <t>3.0 - FERRAMENTAS / INSUMOS</t>
  </si>
  <si>
    <t>Container 1000 L</t>
  </si>
  <si>
    <t>Reposição de container 1000 L</t>
  </si>
  <si>
    <t>Container 700 l</t>
  </si>
  <si>
    <t>Reposição de container 700  L</t>
  </si>
  <si>
    <t>Material de liimpeza/água (verba mês)</t>
  </si>
  <si>
    <t>Detergentes/desodorisadores biodegradáveis (verba mês)</t>
  </si>
  <si>
    <t>TOTAL FERRAMENTAS</t>
  </si>
  <si>
    <t>unidades</t>
  </si>
  <si>
    <t>CUSTO TOTAL</t>
  </si>
  <si>
    <t>8.0  CUSTO/ UNIDADE</t>
  </si>
  <si>
    <t xml:space="preserve">9.0  Unidade mensal </t>
  </si>
  <si>
    <t>10.0 Custo/unid</t>
  </si>
  <si>
    <t xml:space="preserve"> LOCAÇÃO, LAVAGEM, DESINFECÇÃO E MANUTENÇÃO DE CONTAINER DE 1000 LITROS</t>
  </si>
  <si>
    <t>CONTEINER 1.000 LITROS</t>
  </si>
  <si>
    <t>COMPOSIÇÃO AUXILIAR - CONTAINER SOTERRADO DE 2m³</t>
  </si>
  <si>
    <t>FORNECIMENTO E INSTALAÇÃO DE CONTEINERES SOTERRADOS DE 2m³</t>
  </si>
  <si>
    <t>Munck hidráulico instalado em compactador de 15m³ (2 unidades) valor mensal da locação.</t>
  </si>
  <si>
    <t>VALOR MENSAL</t>
  </si>
  <si>
    <t>F - CUSTO DIRETO MENSAL</t>
  </si>
  <si>
    <t>G - ADMINISTRAÇÃO CENTRAL + LUCRO</t>
  </si>
  <si>
    <t>I - PIS, COFINS, ISS , CSSL (do faturamento)</t>
  </si>
  <si>
    <t>H - SUB TOTAL</t>
  </si>
  <si>
    <t>J - CUSTO FINAL MENSAL</t>
  </si>
  <si>
    <t>D - MANUTENÇÃO</t>
  </si>
  <si>
    <t xml:space="preserve">   D1 - Custo de Manutenção na Vida Útil (Em %)</t>
  </si>
  <si>
    <t xml:space="preserve">   D2 - Custo do Equipamento</t>
  </si>
  <si>
    <t xml:space="preserve">   D3 - Vida Útil do Equipamento (Em Meses)</t>
  </si>
  <si>
    <t xml:space="preserve">   D4 - CUSTO DE MANUTENÇÃO POR MES</t>
  </si>
  <si>
    <t>E - CUSTO COM IMPLANTAÇÃO (VERBA POR UNIDADE)</t>
  </si>
  <si>
    <t xml:space="preserve">   E1 -  Implantação</t>
  </si>
  <si>
    <t xml:space="preserve">   E2 - CUSTO C/ IMPLANTAÇÃO</t>
  </si>
  <si>
    <t>COMPOSIÇÃO</t>
  </si>
  <si>
    <t>LOCAÇÃO, OPERAÇÃO E MANUTENÇÃO DE BALANÇA RODOVIÁRIA</t>
  </si>
  <si>
    <t>DESCRIÇÃO</t>
  </si>
  <si>
    <t>PERÍODO</t>
  </si>
  <si>
    <t>VALOR UNIT. (R$)</t>
  </si>
  <si>
    <t>VALOR TOTAL (R$)</t>
  </si>
  <si>
    <t>MÃO DE OBRA</t>
  </si>
  <si>
    <t>1.1</t>
  </si>
  <si>
    <t>Balanceiro (12x36 horas)</t>
  </si>
  <si>
    <t>MÊS</t>
  </si>
  <si>
    <t>Subtotal 1</t>
  </si>
  <si>
    <t>FORNECIMENTO DE BALANÇA</t>
  </si>
  <si>
    <t>2.1</t>
  </si>
  <si>
    <t>Locação de Balança Rodoviária Metálica</t>
  </si>
  <si>
    <t>Vida Útil = 5 anos</t>
  </si>
  <si>
    <t>Depreciação = 80%</t>
  </si>
  <si>
    <t>Subtotal 2</t>
  </si>
  <si>
    <t>MANUTENÇÃO E CALIBRAÇÃO DE BALANÇA</t>
  </si>
  <si>
    <t>3.1</t>
  </si>
  <si>
    <t>Manutenção semestral</t>
  </si>
  <si>
    <t>3.2</t>
  </si>
  <si>
    <t>Calibração anual da balança rodoviária</t>
  </si>
  <si>
    <t>3.3</t>
  </si>
  <si>
    <t>Fornecimento de energia elétrica</t>
  </si>
  <si>
    <t>Subtotal 3</t>
  </si>
  <si>
    <t>CUSTO UNITÁRIO</t>
  </si>
  <si>
    <t>BDI = 29,25%</t>
  </si>
  <si>
    <t>CUSTO UNITÁRIO TOTAL MENSAL</t>
  </si>
  <si>
    <t>PLANILHA ORÇAMENTÁRIA</t>
  </si>
  <si>
    <t>REMEDIAÇÃO DO ATERRO DE RESÍDUOS SÓLIDOS DE VÁRZEA GRANDE - MT</t>
  </si>
  <si>
    <t>CUSTOS OPERACIONAIS</t>
  </si>
  <si>
    <t>VALOR</t>
  </si>
  <si>
    <t>CÓDIGO</t>
  </si>
  <si>
    <t>UNID</t>
  </si>
  <si>
    <t>QUANT</t>
  </si>
  <si>
    <t>UNITÁRIO</t>
  </si>
  <si>
    <t>TOTAL</t>
  </si>
  <si>
    <t>1.10</t>
  </si>
  <si>
    <t>Engenheiro pleno (Parcial 25%)</t>
  </si>
  <si>
    <t>HOMEM/MÊS</t>
  </si>
  <si>
    <t>SINAPI/MT-JUN/19</t>
  </si>
  <si>
    <t>1.20</t>
  </si>
  <si>
    <t>Encarregado de turma</t>
  </si>
  <si>
    <t>1.30</t>
  </si>
  <si>
    <t>Auxiliar de escritório</t>
  </si>
  <si>
    <t>1.40</t>
  </si>
  <si>
    <t>Ajudante</t>
  </si>
  <si>
    <t>1.50</t>
  </si>
  <si>
    <t>topografo (parcial 20%)</t>
  </si>
  <si>
    <t>1.70</t>
  </si>
  <si>
    <t>Vigia</t>
  </si>
  <si>
    <t>MÁQUINAS PESADAS</t>
  </si>
  <si>
    <t>2.10</t>
  </si>
  <si>
    <t>E9515</t>
  </si>
  <si>
    <t>Escavadeira hidráulica sobre esteira com caçamba com capacidade de 1,5 m³ - 110 kW</t>
  </si>
  <si>
    <t>HORA/MÊS</t>
  </si>
  <si>
    <t>DNIT/MT - JAN/19</t>
  </si>
  <si>
    <t>2.20</t>
  </si>
  <si>
    <t>E9042</t>
  </si>
  <si>
    <t>Trator de esteiras com lâmina - 74,5 kW</t>
  </si>
  <si>
    <t>2.30</t>
  </si>
  <si>
    <t>Caminhão basculante com capacidade de 6 m³ - 136 kW</t>
  </si>
  <si>
    <t>2.40</t>
  </si>
  <si>
    <t>Locação de Balança rodoviária, com plataforma de 3,00m x 9,00m, calibrada pelo IPEM, dotada de impressora, fornecimento de energia, manutenção e operação.</t>
  </si>
  <si>
    <t>UND/MÊS</t>
  </si>
  <si>
    <t>CUSTO MENSAL (R$)</t>
  </si>
  <si>
    <t>QUANTIDADE ESTIMADA DE RESÍDUOS (TON)</t>
  </si>
  <si>
    <t>CUSTO TOTAL 1 (R$/TON) S/BDI</t>
  </si>
  <si>
    <t>BDI</t>
  </si>
  <si>
    <t>CUSTO TOTAL 1 (R$/TON) C/ BDI</t>
  </si>
  <si>
    <t>Tabelas: SINAPI/MT JUN/19 - DNIT/MT JAN/19</t>
  </si>
  <si>
    <t>OPERAÇÃO, IMPLANTAÇÃO E REMEDIAÇÃO DO ATERRO DE RESÍDUOS SÓLIDOS DE VÁRZEA GRANDE - MT</t>
  </si>
  <si>
    <t>OPERAÇÃO DO ATERRO SANITÁRIO</t>
  </si>
  <si>
    <t>Operação de aterro sanitário</t>
  </si>
  <si>
    <t>1.2</t>
  </si>
  <si>
    <t>Tratamento de chorume de acordo com o Termo de Referência (Vazão 30m³/dia)</t>
  </si>
  <si>
    <t>m3</t>
  </si>
  <si>
    <t>Custo Mensal Estimado</t>
  </si>
  <si>
    <t>Subtotal 1 (12 meses)</t>
  </si>
  <si>
    <t>CUSTOS DE IMPLANTAÇÃO DE ATERRO E REMEDIAÇÃO DE ÁREA DEGRADADA</t>
  </si>
  <si>
    <t>IMPLANTAÇÃO DE ATERRO SANITÁRIO</t>
  </si>
  <si>
    <t>Terraplenagem para construção da célula</t>
  </si>
  <si>
    <t>2.1.1</t>
  </si>
  <si>
    <t>5502110 DNIT</t>
  </si>
  <si>
    <t>Escavação, carga e transporte de solo, DMT 200 a 400m</t>
  </si>
  <si>
    <t>m³</t>
  </si>
  <si>
    <t>2.1.2</t>
  </si>
  <si>
    <t>5502978 DNIT</t>
  </si>
  <si>
    <t>Compactação de aterros a 100% do Proctor normal</t>
  </si>
  <si>
    <t>Impermeabilização</t>
  </si>
  <si>
    <t>2.2</t>
  </si>
  <si>
    <t>74033/001</t>
  </si>
  <si>
    <t>Fornecimento e instalação de manta de PEAD (MANTA TERMOPLASTICA LISA) TIPO PEAD, E=2MM)</t>
  </si>
  <si>
    <t>m²</t>
  </si>
  <si>
    <t>2.3</t>
  </si>
  <si>
    <t>73881/003</t>
  </si>
  <si>
    <t>Fornecimento e instalação de geotêxtil, tipo RT21</t>
  </si>
  <si>
    <t>Escavação, carga e transporte de solo, DMT 200 a 400m (Proteção mecânica da manta)</t>
  </si>
  <si>
    <t>2.4</t>
  </si>
  <si>
    <t>Compactação de aterros a 100% do Proctor normal (Proteção mecânica da manta)</t>
  </si>
  <si>
    <t>RECUPERAÇÃO DE ÁREA DEGRADADA</t>
  </si>
  <si>
    <t>3.10</t>
  </si>
  <si>
    <t>Levantamento topográfico da área do aterro, incluindo nivelamento de precisão do perímetro do local e colocação de referências de concreto nos limetes do terreno.</t>
  </si>
  <si>
    <t>há</t>
  </si>
  <si>
    <t>3.20</t>
  </si>
  <si>
    <t>Elaboração de um diagnóstico ambiental de acordo com o Termo de Referência.(LAUDO DE VISTORIA CONFORME TR)</t>
  </si>
  <si>
    <t>Und</t>
  </si>
  <si>
    <t>SINAPI/MT - JUN/19 - 150 horas de eng.</t>
  </si>
  <si>
    <t>3.30</t>
  </si>
  <si>
    <t>74017/001</t>
  </si>
  <si>
    <t>Construção de dreno de chorume na massa de lixo de 0,50m x 0,50m conformado em brita nº 4 com seção revestida em geotêxtil (bidim RT 09 ou similar) para filtro e reforçado com tubulação Kananet de 4" ou similar. Inclui a escavação da massa de lixo, nivelamento do fundo da escavação, instalação do dreno e reaterro.</t>
  </si>
  <si>
    <t>3.40</t>
  </si>
  <si>
    <t>Fornecimento de pedra de mão para construção de Dreno de Gás desde a cobertura da célula com 7,00m de profundidade, diâmetro de 1,00m</t>
  </si>
  <si>
    <t>SINAPI/MT - JUN/19 - Insumos</t>
  </si>
  <si>
    <t>Fornecimento de tubo de concreto armado, classe PA-1, diâmetro de 800mm, para arremate do Dreno de Gás.</t>
  </si>
  <si>
    <t>3.50</t>
  </si>
  <si>
    <t>73882/005</t>
  </si>
  <si>
    <t>Fornecimento e implantação de canaletas de concreto com 0,60m. Inclui escavação manual, fornecimento de materiais, nivelamento topográfico e acabamento.</t>
  </si>
  <si>
    <t>3.60</t>
  </si>
  <si>
    <t>Fornecimento de grama</t>
  </si>
  <si>
    <t>TOTAL GERAL (Subtotal 1 + Subtotal 2 + Subtotal 3)</t>
  </si>
  <si>
    <t>composição</t>
  </si>
  <si>
    <t>OPERAÇÃO DE ATERRO SANITÁRIO</t>
  </si>
  <si>
    <t>COTAÇÃO</t>
  </si>
  <si>
    <t>COLETA MANUAL E CONTEINERIZADA, TRANSPORTE DE RESÍDUOS DOMICILIARES, COMERCIAIS  E DE VARRIÇÃO</t>
  </si>
  <si>
    <t>RESUMO</t>
  </si>
  <si>
    <t>SERVIÇOS CONTÍNUOS R$</t>
  </si>
  <si>
    <t>VALOR MÁXIMO FINAL R$</t>
  </si>
  <si>
    <t>TRATAMENTO DE CHORUME EM ETE LICENCIADA</t>
  </si>
  <si>
    <t>IMPLANTAÇÃO DE ATERRO SANITÁRIO (BDI 29,25)</t>
  </si>
  <si>
    <t>SERVIÇOS DE IMPLANTAÇÃO E REMEDIAÇÃO R$</t>
  </si>
  <si>
    <t>TOTAL GERAL (Subtotal 1 + Subtotal 2)</t>
  </si>
  <si>
    <t>ADMINISTRAÇÃO LOCAL</t>
  </si>
  <si>
    <t>C - CUSTO DIRETO MENSAL + BDI 29,25%</t>
  </si>
  <si>
    <t xml:space="preserve">MÊS </t>
  </si>
  <si>
    <t>CUSTO DOS SERVIÇOS CONTÍNUOS</t>
  </si>
  <si>
    <t>Elaboração de um diagnóstico ambiental de acordo com o Termo de Referência.(LAUDO DE VISTORIA CONFORME TR) - 150HS</t>
  </si>
  <si>
    <t>SINAPI/MT - JUN/19 - 9 horas de eng.</t>
  </si>
  <si>
    <t>Levantamento topográfico da área do aterro, incluindo nivelamento de precisão do perímetro do local e colocação de referências de concreto nos limetes do terreno - 7 HS</t>
  </si>
  <si>
    <t>OK</t>
  </si>
  <si>
    <t>COMPOSIÇÃO AUXILIAR - CONTAINER SOTERRADO DE 1m³</t>
  </si>
  <si>
    <t>Valor = R$ 71.000,00</t>
  </si>
  <si>
    <t>Valor Mensal = (R$ 71.000,00 x 80%)/60 meses</t>
  </si>
  <si>
    <t>Valor Anual = R$ 6.000,00</t>
  </si>
  <si>
    <t>Valor Mensal = R$ 6.000,00/12 meses</t>
  </si>
  <si>
    <t>Valor Semestral = R$ 12.600,00</t>
  </si>
  <si>
    <t>Valor Mensal = R$ 12.600,00/6 meses</t>
  </si>
  <si>
    <t>PREÇO TOTAL ANUAL</t>
  </si>
  <si>
    <t>PREÇO TOTAL MENSAL</t>
  </si>
  <si>
    <t>N</t>
  </si>
  <si>
    <t>S</t>
  </si>
  <si>
    <t>IMPLANTAÇÃO DE ATERRO SANITÁRIO E RECUPERAÇÃO DE ÁREA DEGRADADA</t>
  </si>
  <si>
    <t>2.5</t>
  </si>
  <si>
    <t>2.51</t>
  </si>
  <si>
    <t>2.5.2</t>
  </si>
  <si>
    <t>2.5.3</t>
  </si>
  <si>
    <t>2.5.4</t>
  </si>
  <si>
    <t>2.5.5</t>
  </si>
  <si>
    <t>2.5.6</t>
  </si>
  <si>
    <t>2.5.7</t>
  </si>
  <si>
    <t>ha.</t>
  </si>
  <si>
    <t xml:space="preserve">Quadro de pessoal e equipamentos para o serviço - Operação do destino final está memorial das especificações técnicas/termo </t>
  </si>
  <si>
    <t>FORNECIMENTO E INSTALAÇÃO DE CONTEINERES SOTERRADOS DE 3m³</t>
  </si>
  <si>
    <t>FORNECIMENTO E INSTALAÇÃO DE CONTEINERES SEMITERRADOS DE 2m³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</si>
</sst>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0.0%"/>
    <numFmt numFmtId="167" formatCode="#,##0.000"/>
    <numFmt numFmtId="168" formatCode="0.0000"/>
    <numFmt numFmtId="169" formatCode="#,##0.0000"/>
    <numFmt numFmtId="170" formatCode="_(* #,##0.000_);_(* \(#,##0.000\);_(* &quot;-&quot;??_);_(@_)"/>
    <numFmt numFmtId="171" formatCode="0.0"/>
    <numFmt numFmtId="172" formatCode="_(* #,##0.0000_);_(* \(#,##0.0000\);_(* &quot;-&quot;??_);_(@_)"/>
    <numFmt numFmtId="173" formatCode="_(* #,##0.00000_);_(* \(#,##0.00000\);_(* &quot;-&quot;??_);_(@_)"/>
    <numFmt numFmtId="174" formatCode="_(* #,##0.000000_);_(* \(#,##0.000000\);_(* &quot;-&quot;??_);_(@_)"/>
    <numFmt numFmtId="175" formatCode="_(* #,##0.0000000000_);_(* \(#,##0.0000000000\);_(* &quot;-&quot;??_);_(@_)"/>
  </numFmts>
  <fonts count="76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3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b/>
      <sz val="15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18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theme="0"/>
      <name val="Arial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theme="0" tint="-0.34998626667073579"/>
      <name val="Arial"/>
      <family val="2"/>
    </font>
    <font>
      <i/>
      <sz val="10"/>
      <color theme="0" tint="-0.34998626667073579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6"/>
      <color theme="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Times New Roman"/>
      <family val="1"/>
    </font>
    <font>
      <sz val="8"/>
      <color theme="1"/>
      <name val="Arial"/>
      <family val="2"/>
    </font>
    <font>
      <b/>
      <sz val="1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4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6" fillId="4" borderId="0" applyNumberFormat="0" applyBorder="0" applyAlignment="0" applyProtection="0"/>
    <xf numFmtId="0" fontId="27" fillId="16" borderId="1" applyNumberFormat="0" applyAlignment="0" applyProtection="0"/>
    <xf numFmtId="0" fontId="28" fillId="17" borderId="2" applyNumberFormat="0" applyAlignment="0" applyProtection="0"/>
    <xf numFmtId="0" fontId="29" fillId="0" borderId="3" applyNumberFormat="0" applyFill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1" borderId="0" applyNumberFormat="0" applyBorder="0" applyAlignment="0" applyProtection="0"/>
    <xf numFmtId="0" fontId="30" fillId="7" borderId="1" applyNumberFormat="0" applyAlignment="0" applyProtection="0"/>
    <xf numFmtId="0" fontId="31" fillId="3" borderId="0" applyNumberFormat="0" applyBorder="0" applyAlignment="0" applyProtection="0"/>
    <xf numFmtId="165" fontId="5" fillId="0" borderId="0" applyFont="0" applyFill="0" applyBorder="0" applyAlignment="0" applyProtection="0"/>
    <xf numFmtId="0" fontId="32" fillId="22" borderId="0" applyNumberFormat="0" applyBorder="0" applyAlignment="0" applyProtection="0"/>
    <xf numFmtId="0" fontId="5" fillId="0" borderId="0"/>
    <xf numFmtId="0" fontId="5" fillId="23" borderId="4" applyNumberFormat="0" applyFont="0" applyAlignment="0" applyProtection="0"/>
    <xf numFmtId="9" fontId="5" fillId="0" borderId="0" applyFont="0" applyFill="0" applyBorder="0" applyAlignment="0" applyProtection="0"/>
    <xf numFmtId="0" fontId="33" fillId="16" borderId="5" applyNumberFormat="0" applyAlignment="0" applyProtection="0"/>
    <xf numFmtId="164" fontId="18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486">
    <xf numFmtId="0" fontId="0" fillId="0" borderId="0" xfId="0"/>
    <xf numFmtId="0" fontId="8" fillId="0" borderId="0" xfId="0" applyFont="1" applyFill="1"/>
    <xf numFmtId="4" fontId="9" fillId="0" borderId="0" xfId="0" applyNumberFormat="1" applyFont="1" applyFill="1"/>
    <xf numFmtId="164" fontId="8" fillId="0" borderId="0" xfId="37" applyFont="1" applyFill="1"/>
    <xf numFmtId="164" fontId="14" fillId="0" borderId="0" xfId="37" applyFont="1" applyFill="1" applyAlignment="1">
      <alignment horizontal="center"/>
    </xf>
    <xf numFmtId="164" fontId="21" fillId="0" borderId="0" xfId="37" applyFont="1" applyFill="1" applyAlignment="1">
      <alignment vertical="center"/>
    </xf>
    <xf numFmtId="4" fontId="6" fillId="0" borderId="0" xfId="0" applyNumberFormat="1" applyFont="1" applyFill="1"/>
    <xf numFmtId="164" fontId="8" fillId="0" borderId="0" xfId="46" applyFont="1" applyFill="1" applyBorder="1"/>
    <xf numFmtId="164" fontId="8" fillId="0" borderId="0" xfId="46" applyFont="1" applyFill="1"/>
    <xf numFmtId="10" fontId="6" fillId="0" borderId="0" xfId="35" applyNumberFormat="1" applyFont="1" applyFill="1"/>
    <xf numFmtId="0" fontId="7" fillId="0" borderId="0" xfId="0" quotePrefix="1" applyFont="1" applyFill="1" applyAlignment="1">
      <alignment horizontal="left"/>
    </xf>
    <xf numFmtId="0" fontId="7" fillId="0" borderId="0" xfId="0" applyFont="1" applyFill="1"/>
    <xf numFmtId="0" fontId="9" fillId="0" borderId="0" xfId="0" applyFont="1" applyFill="1"/>
    <xf numFmtId="0" fontId="6" fillId="0" borderId="0" xfId="0" applyFont="1" applyFill="1"/>
    <xf numFmtId="0" fontId="10" fillId="0" borderId="0" xfId="0" applyFont="1" applyFill="1"/>
    <xf numFmtId="4" fontId="9" fillId="0" borderId="0" xfId="0" applyNumberFormat="1" applyFont="1" applyFill="1" applyAlignment="1">
      <alignment horizontal="left"/>
    </xf>
    <xf numFmtId="4" fontId="11" fillId="0" borderId="0" xfId="0" applyNumberFormat="1" applyFont="1" applyFill="1"/>
    <xf numFmtId="4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left"/>
    </xf>
    <xf numFmtId="4" fontId="6" fillId="0" borderId="0" xfId="0" quotePrefix="1" applyNumberFormat="1" applyFont="1" applyFill="1" applyAlignment="1">
      <alignment horizontal="left"/>
    </xf>
    <xf numFmtId="4" fontId="11" fillId="0" borderId="0" xfId="0" quotePrefix="1" applyNumberFormat="1" applyFont="1" applyFill="1" applyAlignment="1">
      <alignment horizontal="left"/>
    </xf>
    <xf numFmtId="164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3" fontId="8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165" fontId="6" fillId="0" borderId="0" xfId="31" applyFont="1" applyFill="1"/>
    <xf numFmtId="4" fontId="11" fillId="0" borderId="0" xfId="0" applyNumberFormat="1" applyFont="1" applyFill="1" applyAlignment="1">
      <alignment horizontal="left"/>
    </xf>
    <xf numFmtId="9" fontId="6" fillId="0" borderId="0" xfId="35" applyFont="1" applyFill="1"/>
    <xf numFmtId="4" fontId="10" fillId="0" borderId="0" xfId="0" applyNumberFormat="1" applyFont="1" applyFill="1" applyAlignment="1">
      <alignment horizontal="left"/>
    </xf>
    <xf numFmtId="4" fontId="9" fillId="0" borderId="0" xfId="0" quotePrefix="1" applyNumberFormat="1" applyFont="1" applyFill="1" applyAlignment="1">
      <alignment horizontal="left"/>
    </xf>
    <xf numFmtId="4" fontId="10" fillId="0" borderId="0" xfId="0" applyNumberFormat="1" applyFont="1" applyFill="1"/>
    <xf numFmtId="0" fontId="8" fillId="0" borderId="0" xfId="0" applyFont="1" applyFill="1" applyAlignment="1">
      <alignment horizontal="center"/>
    </xf>
    <xf numFmtId="166" fontId="6" fillId="0" borderId="0" xfId="35" applyNumberFormat="1" applyFont="1" applyFill="1"/>
    <xf numFmtId="164" fontId="8" fillId="0" borderId="0" xfId="0" applyNumberFormat="1" applyFont="1" applyFill="1"/>
    <xf numFmtId="4" fontId="6" fillId="0" borderId="0" xfId="0" quotePrefix="1" applyNumberFormat="1" applyFont="1" applyFill="1"/>
    <xf numFmtId="0" fontId="6" fillId="0" borderId="0" xfId="0" quotePrefix="1" applyFont="1" applyFill="1" applyAlignment="1">
      <alignment horizontal="left"/>
    </xf>
    <xf numFmtId="164" fontId="21" fillId="0" borderId="10" xfId="37" applyFont="1" applyFill="1" applyBorder="1" applyAlignment="1">
      <alignment horizontal="justify" vertical="top"/>
    </xf>
    <xf numFmtId="164" fontId="21" fillId="0" borderId="10" xfId="37" applyFont="1" applyFill="1" applyBorder="1" applyAlignment="1">
      <alignment horizontal="center"/>
    </xf>
    <xf numFmtId="164" fontId="21" fillId="0" borderId="0" xfId="37" applyFont="1" applyFill="1"/>
    <xf numFmtId="0" fontId="8" fillId="0" borderId="0" xfId="0" quotePrefix="1" applyFont="1" applyFill="1" applyAlignment="1">
      <alignment horizontal="left"/>
    </xf>
    <xf numFmtId="10" fontId="8" fillId="0" borderId="0" xfId="35" applyNumberFormat="1" applyFont="1" applyFill="1"/>
    <xf numFmtId="0" fontId="14" fillId="0" borderId="0" xfId="0" quotePrefix="1" applyFont="1" applyFill="1" applyAlignment="1">
      <alignment horizontal="left"/>
    </xf>
    <xf numFmtId="164" fontId="14" fillId="0" borderId="0" xfId="46" applyFont="1" applyFill="1"/>
    <xf numFmtId="0" fontId="14" fillId="0" borderId="0" xfId="0" applyFont="1" applyFill="1" applyAlignment="1">
      <alignment horizontal="left"/>
    </xf>
    <xf numFmtId="164" fontId="14" fillId="0" borderId="0" xfId="0" applyNumberFormat="1" applyFont="1" applyFill="1"/>
    <xf numFmtId="0" fontId="23" fillId="0" borderId="0" xfId="0" quotePrefix="1" applyFont="1" applyFill="1" applyAlignment="1">
      <alignment horizontal="left"/>
    </xf>
    <xf numFmtId="164" fontId="23" fillId="0" borderId="0" xfId="0" applyNumberFormat="1" applyFont="1" applyFill="1"/>
    <xf numFmtId="0" fontId="14" fillId="0" borderId="0" xfId="0" applyFont="1" applyFill="1"/>
    <xf numFmtId="164" fontId="8" fillId="0" borderId="0" xfId="37" applyFont="1" applyFill="1" applyAlignment="1">
      <alignment horizontal="center"/>
    </xf>
    <xf numFmtId="164" fontId="14" fillId="0" borderId="0" xfId="37" applyFont="1" applyFill="1" applyBorder="1" applyAlignment="1">
      <alignment horizontal="left"/>
    </xf>
    <xf numFmtId="164" fontId="8" fillId="0" borderId="0" xfId="37" applyFont="1" applyFill="1" applyBorder="1"/>
    <xf numFmtId="164" fontId="8" fillId="0" borderId="0" xfId="37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6" fillId="0" borderId="10" xfId="0" applyFont="1" applyFill="1" applyBorder="1"/>
    <xf numFmtId="4" fontId="16" fillId="0" borderId="10" xfId="0" applyNumberFormat="1" applyFont="1" applyFill="1" applyBorder="1"/>
    <xf numFmtId="3" fontId="16" fillId="0" borderId="10" xfId="0" applyNumberFormat="1" applyFont="1" applyFill="1" applyBorder="1" applyAlignment="1">
      <alignment horizontal="center"/>
    </xf>
    <xf numFmtId="0" fontId="16" fillId="0" borderId="10" xfId="0" quotePrefix="1" applyFont="1" applyFill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10" fillId="0" borderId="0" xfId="0" quotePrefix="1" applyNumberFormat="1" applyFont="1" applyFill="1" applyAlignment="1">
      <alignment horizontal="left"/>
    </xf>
    <xf numFmtId="9" fontId="8" fillId="0" borderId="0" xfId="35" applyFont="1" applyFill="1"/>
    <xf numFmtId="164" fontId="8" fillId="0" borderId="0" xfId="46" applyNumberFormat="1" applyFont="1" applyFill="1"/>
    <xf numFmtId="0" fontId="12" fillId="0" borderId="0" xfId="0" applyFont="1" applyFill="1" applyAlignment="1">
      <alignment horizontal="left"/>
    </xf>
    <xf numFmtId="164" fontId="12" fillId="0" borderId="0" xfId="46" applyFont="1" applyFill="1"/>
    <xf numFmtId="0" fontId="12" fillId="0" borderId="0" xfId="0" applyFont="1" applyFill="1"/>
    <xf numFmtId="164" fontId="12" fillId="0" borderId="0" xfId="0" applyNumberFormat="1" applyFont="1" applyFill="1"/>
    <xf numFmtId="0" fontId="13" fillId="0" borderId="0" xfId="0" applyFont="1" applyFill="1"/>
    <xf numFmtId="0" fontId="17" fillId="0" borderId="0" xfId="0" applyFont="1" applyFill="1" applyBorder="1"/>
    <xf numFmtId="4" fontId="8" fillId="0" borderId="0" xfId="46" applyNumberFormat="1" applyFont="1" applyFill="1" applyAlignment="1">
      <alignment horizontal="center"/>
    </xf>
    <xf numFmtId="0" fontId="12" fillId="0" borderId="0" xfId="0" quotePrefix="1" applyFont="1" applyFill="1" applyAlignment="1">
      <alignment horizontal="left"/>
    </xf>
    <xf numFmtId="43" fontId="8" fillId="0" borderId="0" xfId="0" applyNumberFormat="1" applyFont="1" applyFill="1"/>
    <xf numFmtId="4" fontId="21" fillId="0" borderId="10" xfId="37" applyNumberFormat="1" applyFont="1" applyFill="1" applyBorder="1"/>
    <xf numFmtId="4" fontId="9" fillId="0" borderId="0" xfId="0" quotePrefix="1" applyNumberFormat="1" applyFont="1" applyFill="1" applyAlignment="1">
      <alignment horizontal="left"/>
    </xf>
    <xf numFmtId="0" fontId="7" fillId="0" borderId="0" xfId="0" quotePrefix="1" applyFont="1" applyAlignment="1">
      <alignment horizontal="left"/>
    </xf>
    <xf numFmtId="0" fontId="8" fillId="0" borderId="0" xfId="0" applyFont="1"/>
    <xf numFmtId="4" fontId="6" fillId="0" borderId="0" xfId="0" applyNumberFormat="1" applyFont="1" applyFill="1" applyAlignment="1">
      <alignment horizontal="right"/>
    </xf>
    <xf numFmtId="4" fontId="6" fillId="0" borderId="0" xfId="0" quotePrefix="1" applyNumberFormat="1" applyFont="1" applyFill="1" applyAlignment="1">
      <alignment horizontal="right"/>
    </xf>
    <xf numFmtId="4" fontId="6" fillId="0" borderId="0" xfId="0" applyNumberFormat="1" applyFont="1"/>
    <xf numFmtId="4" fontId="9" fillId="0" borderId="0" xfId="0" applyNumberFormat="1" applyFont="1"/>
    <xf numFmtId="44" fontId="8" fillId="0" borderId="0" xfId="0" applyNumberFormat="1" applyFont="1" applyFill="1"/>
    <xf numFmtId="4" fontId="9" fillId="0" borderId="0" xfId="0" quotePrefix="1" applyNumberFormat="1" applyFont="1" applyFill="1" applyAlignment="1">
      <alignment horizontal="left"/>
    </xf>
    <xf numFmtId="164" fontId="21" fillId="0" borderId="14" xfId="37" quotePrefix="1" applyFont="1" applyFill="1" applyBorder="1" applyAlignment="1">
      <alignment horizontal="center" vertical="center"/>
    </xf>
    <xf numFmtId="168" fontId="48" fillId="0" borderId="0" xfId="0" applyNumberFormat="1" applyFont="1" applyFill="1"/>
    <xf numFmtId="164" fontId="8" fillId="0" borderId="0" xfId="55" applyFont="1" applyFill="1"/>
    <xf numFmtId="164" fontId="8" fillId="0" borderId="0" xfId="55" applyFont="1" applyFill="1" applyAlignment="1">
      <alignment horizontal="center"/>
    </xf>
    <xf numFmtId="164" fontId="5" fillId="0" borderId="0" xfId="55" applyFont="1" applyFill="1"/>
    <xf numFmtId="164" fontId="19" fillId="0" borderId="0" xfId="55" applyFont="1" applyFill="1" applyAlignment="1">
      <alignment horizontal="left"/>
    </xf>
    <xf numFmtId="164" fontId="41" fillId="0" borderId="0" xfId="55" applyFont="1" applyFill="1" applyAlignment="1">
      <alignment horizontal="center"/>
    </xf>
    <xf numFmtId="164" fontId="42" fillId="0" borderId="0" xfId="55" applyFont="1" applyFill="1"/>
    <xf numFmtId="164" fontId="8" fillId="0" borderId="14" xfId="55" quotePrefix="1" applyFont="1" applyFill="1" applyBorder="1" applyAlignment="1">
      <alignment horizontal="center" vertical="center"/>
    </xf>
    <xf numFmtId="164" fontId="8" fillId="0" borderId="10" xfId="55" applyFont="1" applyFill="1" applyBorder="1" applyAlignment="1">
      <alignment horizontal="justify" vertical="top"/>
    </xf>
    <xf numFmtId="164" fontId="8" fillId="0" borderId="10" xfId="55" applyFont="1" applyFill="1" applyBorder="1" applyAlignment="1">
      <alignment horizontal="center" vertical="center"/>
    </xf>
    <xf numFmtId="164" fontId="8" fillId="0" borderId="11" xfId="55" applyFont="1" applyFill="1" applyBorder="1" applyAlignment="1">
      <alignment horizontal="center" vertical="center"/>
    </xf>
    <xf numFmtId="164" fontId="5" fillId="0" borderId="0" xfId="55" applyFont="1" applyFill="1" applyBorder="1" applyAlignment="1">
      <alignment horizontal="center"/>
    </xf>
    <xf numFmtId="164" fontId="43" fillId="0" borderId="0" xfId="55" applyFont="1" applyFill="1" applyBorder="1" applyAlignment="1">
      <alignment horizontal="justify" vertical="top"/>
    </xf>
    <xf numFmtId="164" fontId="5" fillId="0" borderId="0" xfId="55" applyFont="1" applyFill="1" applyAlignment="1">
      <alignment horizontal="center"/>
    </xf>
    <xf numFmtId="4" fontId="9" fillId="0" borderId="0" xfId="0" quotePrefix="1" applyNumberFormat="1" applyFont="1" applyFill="1" applyAlignment="1">
      <alignment horizontal="left"/>
    </xf>
    <xf numFmtId="43" fontId="14" fillId="0" borderId="0" xfId="0" applyNumberFormat="1" applyFont="1" applyFill="1"/>
    <xf numFmtId="169" fontId="6" fillId="0" borderId="0" xfId="0" applyNumberFormat="1" applyFont="1" applyFill="1"/>
    <xf numFmtId="164" fontId="19" fillId="0" borderId="0" xfId="55" applyFont="1" applyFill="1" applyAlignment="1">
      <alignment horizontal="center"/>
    </xf>
    <xf numFmtId="4" fontId="9" fillId="0" borderId="0" xfId="0" quotePrefix="1" applyNumberFormat="1" applyFont="1" applyFill="1" applyAlignment="1">
      <alignment horizontal="left"/>
    </xf>
    <xf numFmtId="0" fontId="8" fillId="0" borderId="0" xfId="0" quotePrefix="1" applyFont="1" applyFill="1" applyBorder="1" applyAlignment="1">
      <alignment horizontal="left"/>
    </xf>
    <xf numFmtId="0" fontId="8" fillId="0" borderId="0" xfId="0" applyFont="1" applyFill="1" applyBorder="1"/>
    <xf numFmtId="43" fontId="8" fillId="0" borderId="0" xfId="0" applyNumberFormat="1" applyFont="1" applyFill="1" applyBorder="1"/>
    <xf numFmtId="164" fontId="14" fillId="0" borderId="0" xfId="0" applyNumberFormat="1" applyFont="1" applyFill="1" applyBorder="1"/>
    <xf numFmtId="164" fontId="8" fillId="0" borderId="0" xfId="0" applyNumberFormat="1" applyFont="1" applyFill="1" applyBorder="1"/>
    <xf numFmtId="170" fontId="8" fillId="0" borderId="0" xfId="46" applyNumberFormat="1" applyFont="1" applyFill="1"/>
    <xf numFmtId="164" fontId="22" fillId="0" borderId="24" xfId="37" applyFont="1" applyFill="1" applyBorder="1" applyAlignment="1">
      <alignment vertical="center"/>
    </xf>
    <xf numFmtId="164" fontId="21" fillId="0" borderId="25" xfId="37" applyFont="1" applyFill="1" applyBorder="1" applyAlignment="1">
      <alignment vertical="center"/>
    </xf>
    <xf numFmtId="164" fontId="22" fillId="0" borderId="26" xfId="37" applyFont="1" applyFill="1" applyBorder="1" applyAlignment="1">
      <alignment vertical="center"/>
    </xf>
    <xf numFmtId="164" fontId="22" fillId="0" borderId="26" xfId="37" applyFont="1" applyFill="1" applyBorder="1" applyAlignment="1">
      <alignment horizontal="center" vertical="center"/>
    </xf>
    <xf numFmtId="4" fontId="22" fillId="0" borderId="27" xfId="37" applyNumberFormat="1" applyFont="1" applyFill="1" applyBorder="1" applyAlignment="1">
      <alignment vertical="center"/>
    </xf>
    <xf numFmtId="164" fontId="21" fillId="0" borderId="19" xfId="37" quotePrefix="1" applyFont="1" applyFill="1" applyBorder="1" applyAlignment="1">
      <alignment horizontal="center" vertical="center"/>
    </xf>
    <xf numFmtId="164" fontId="21" fillId="0" borderId="18" xfId="37" applyFont="1" applyFill="1" applyBorder="1" applyAlignment="1">
      <alignment horizontal="justify" vertical="top"/>
    </xf>
    <xf numFmtId="4" fontId="21" fillId="0" borderId="18" xfId="37" applyNumberFormat="1" applyFont="1" applyFill="1" applyBorder="1"/>
    <xf numFmtId="164" fontId="21" fillId="0" borderId="18" xfId="37" applyFont="1" applyFill="1" applyBorder="1" applyAlignment="1">
      <alignment horizontal="center"/>
    </xf>
    <xf numFmtId="4" fontId="21" fillId="0" borderId="17" xfId="37" applyNumberFormat="1" applyFont="1" applyFill="1" applyBorder="1"/>
    <xf numFmtId="4" fontId="21" fillId="0" borderId="11" xfId="37" applyNumberFormat="1" applyFont="1" applyFill="1" applyBorder="1"/>
    <xf numFmtId="4" fontId="21" fillId="0" borderId="18" xfId="37" applyNumberFormat="1" applyFont="1" applyFill="1" applyBorder="1" applyAlignment="1">
      <alignment horizontal="right"/>
    </xf>
    <xf numFmtId="4" fontId="21" fillId="0" borderId="10" xfId="37" applyNumberFormat="1" applyFont="1" applyFill="1" applyBorder="1" applyAlignment="1">
      <alignment horizontal="right"/>
    </xf>
    <xf numFmtId="164" fontId="19" fillId="0" borderId="0" xfId="55" applyFont="1" applyFill="1" applyAlignment="1">
      <alignment horizontal="left"/>
    </xf>
    <xf numFmtId="164" fontId="19" fillId="0" borderId="0" xfId="55" applyFont="1" applyFill="1" applyAlignment="1">
      <alignment horizontal="center"/>
    </xf>
    <xf numFmtId="0" fontId="49" fillId="0" borderId="0" xfId="0" applyFont="1"/>
    <xf numFmtId="0" fontId="50" fillId="25" borderId="0" xfId="0" applyFont="1" applyFill="1"/>
    <xf numFmtId="164" fontId="50" fillId="25" borderId="0" xfId="0" applyNumberFormat="1" applyFont="1" applyFill="1"/>
    <xf numFmtId="0" fontId="50" fillId="25" borderId="0" xfId="0" quotePrefix="1" applyFont="1" applyFill="1" applyAlignment="1">
      <alignment horizontal="left"/>
    </xf>
    <xf numFmtId="164" fontId="49" fillId="0" borderId="0" xfId="46" applyFont="1"/>
    <xf numFmtId="0" fontId="49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164" fontId="51" fillId="0" borderId="0" xfId="46" applyFont="1"/>
    <xf numFmtId="164" fontId="49" fillId="0" borderId="0" xfId="46" applyNumberFormat="1" applyFont="1"/>
    <xf numFmtId="0" fontId="49" fillId="0" borderId="0" xfId="0" quotePrefix="1" applyFont="1" applyAlignment="1">
      <alignment horizontal="left"/>
    </xf>
    <xf numFmtId="164" fontId="49" fillId="0" borderId="0" xfId="0" applyNumberFormat="1" applyFont="1"/>
    <xf numFmtId="9" fontId="49" fillId="0" borderId="0" xfId="35" applyFont="1"/>
    <xf numFmtId="0" fontId="52" fillId="0" borderId="0" xfId="0" quotePrefix="1" applyFont="1" applyAlignment="1">
      <alignment horizontal="left"/>
    </xf>
    <xf numFmtId="4" fontId="53" fillId="0" borderId="0" xfId="0" applyNumberFormat="1" applyFont="1"/>
    <xf numFmtId="4" fontId="54" fillId="0" borderId="0" xfId="0" applyNumberFormat="1" applyFont="1"/>
    <xf numFmtId="4" fontId="53" fillId="0" borderId="0" xfId="0" quotePrefix="1" applyNumberFormat="1" applyFont="1" applyAlignment="1">
      <alignment horizontal="left"/>
    </xf>
    <xf numFmtId="166" fontId="53" fillId="0" borderId="0" xfId="35" applyNumberFormat="1" applyFont="1"/>
    <xf numFmtId="4" fontId="49" fillId="0" borderId="0" xfId="35" applyNumberFormat="1" applyFont="1"/>
    <xf numFmtId="4" fontId="49" fillId="0" borderId="0" xfId="0" applyNumberFormat="1" applyFont="1"/>
    <xf numFmtId="0" fontId="52" fillId="0" borderId="0" xfId="0" applyFont="1"/>
    <xf numFmtId="0" fontId="49" fillId="0" borderId="0" xfId="0" applyFont="1" applyFill="1"/>
    <xf numFmtId="4" fontId="54" fillId="0" borderId="0" xfId="0" quotePrefix="1" applyNumberFormat="1" applyFont="1" applyAlignment="1">
      <alignment horizontal="left"/>
    </xf>
    <xf numFmtId="0" fontId="55" fillId="0" borderId="0" xfId="0" applyFont="1" applyAlignment="1">
      <alignment horizontal="center"/>
    </xf>
    <xf numFmtId="0" fontId="53" fillId="0" borderId="0" xfId="0" applyFont="1"/>
    <xf numFmtId="0" fontId="54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0" fontId="57" fillId="0" borderId="0" xfId="0" applyFont="1"/>
    <xf numFmtId="4" fontId="21" fillId="0" borderId="13" xfId="37" applyNumberFormat="1" applyFont="1" applyFill="1" applyBorder="1"/>
    <xf numFmtId="164" fontId="8" fillId="0" borderId="15" xfId="55" quotePrefix="1" applyFont="1" applyFill="1" applyBorder="1" applyAlignment="1">
      <alignment horizontal="center" vertical="center"/>
    </xf>
    <xf numFmtId="0" fontId="58" fillId="0" borderId="0" xfId="0" applyFont="1" applyFill="1"/>
    <xf numFmtId="4" fontId="8" fillId="0" borderId="0" xfId="0" applyNumberFormat="1" applyFont="1" applyFill="1"/>
    <xf numFmtId="4" fontId="58" fillId="0" borderId="0" xfId="0" applyNumberFormat="1" applyFont="1" applyFill="1"/>
    <xf numFmtId="169" fontId="8" fillId="0" borderId="0" xfId="0" applyNumberFormat="1" applyFont="1" applyFill="1"/>
    <xf numFmtId="164" fontId="6" fillId="0" borderId="0" xfId="46" applyFont="1" applyFill="1"/>
    <xf numFmtId="4" fontId="58" fillId="0" borderId="0" xfId="0" applyNumberFormat="1" applyFont="1" applyFill="1" applyAlignment="1">
      <alignment horizontal="center"/>
    </xf>
    <xf numFmtId="9" fontId="6" fillId="0" borderId="0" xfId="35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10" fontId="8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59" fillId="0" borderId="0" xfId="0" applyFont="1" applyFill="1"/>
    <xf numFmtId="0" fontId="6" fillId="0" borderId="0" xfId="0" applyFont="1" applyFill="1" applyAlignment="1">
      <alignment vertical="center"/>
    </xf>
    <xf numFmtId="4" fontId="11" fillId="0" borderId="0" xfId="0" applyNumberFormat="1" applyFont="1" applyFill="1" applyAlignment="1">
      <alignment horizontal="left" vertical="center"/>
    </xf>
    <xf numFmtId="4" fontId="6" fillId="0" borderId="0" xfId="0" quotePrefix="1" applyNumberFormat="1" applyFont="1" applyFill="1" applyAlignment="1">
      <alignment horizontal="left" vertical="center"/>
    </xf>
    <xf numFmtId="4" fontId="11" fillId="0" borderId="0" xfId="0" applyNumberFormat="1" applyFont="1" applyFill="1" applyAlignment="1">
      <alignment vertical="center"/>
    </xf>
    <xf numFmtId="10" fontId="6" fillId="24" borderId="0" xfId="35" applyNumberFormat="1" applyFont="1" applyFill="1"/>
    <xf numFmtId="0" fontId="56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164" fontId="21" fillId="0" borderId="25" xfId="37" applyFont="1" applyFill="1" applyBorder="1" applyAlignment="1">
      <alignment horizontal="justify" vertical="top" wrapText="1"/>
    </xf>
    <xf numFmtId="4" fontId="21" fillId="0" borderId="26" xfId="37" applyNumberFormat="1" applyFont="1" applyFill="1" applyBorder="1"/>
    <xf numFmtId="164" fontId="21" fillId="0" borderId="26" xfId="37" applyFont="1" applyFill="1" applyBorder="1" applyAlignment="1">
      <alignment horizontal="center" wrapText="1"/>
    </xf>
    <xf numFmtId="4" fontId="22" fillId="0" borderId="27" xfId="37" applyNumberFormat="1" applyFont="1" applyFill="1" applyBorder="1"/>
    <xf numFmtId="0" fontId="49" fillId="26" borderId="0" xfId="0" applyFont="1" applyFill="1" applyAlignment="1">
      <alignment horizontal="left"/>
    </xf>
    <xf numFmtId="164" fontId="49" fillId="26" borderId="0" xfId="46" applyFont="1" applyFill="1"/>
    <xf numFmtId="0" fontId="49" fillId="26" borderId="0" xfId="0" applyFont="1" applyFill="1"/>
    <xf numFmtId="4" fontId="53" fillId="26" borderId="0" xfId="0" quotePrefix="1" applyNumberFormat="1" applyFont="1" applyFill="1" applyAlignment="1">
      <alignment horizontal="left"/>
    </xf>
    <xf numFmtId="164" fontId="51" fillId="26" borderId="0" xfId="0" applyNumberFormat="1" applyFont="1" applyFill="1"/>
    <xf numFmtId="164" fontId="52" fillId="26" borderId="0" xfId="0" applyNumberFormat="1" applyFont="1" applyFill="1"/>
    <xf numFmtId="0" fontId="50" fillId="0" borderId="0" xfId="0" quotePrefix="1" applyFont="1" applyFill="1" applyAlignment="1">
      <alignment horizontal="left"/>
    </xf>
    <xf numFmtId="164" fontId="50" fillId="0" borderId="0" xfId="0" applyNumberFormat="1" applyFont="1" applyFill="1"/>
    <xf numFmtId="0" fontId="50" fillId="0" borderId="0" xfId="0" applyFont="1" applyFill="1"/>
    <xf numFmtId="0" fontId="2" fillId="0" borderId="0" xfId="57"/>
    <xf numFmtId="0" fontId="2" fillId="0" borderId="0" xfId="57" applyAlignment="1">
      <alignment vertical="center"/>
    </xf>
    <xf numFmtId="0" fontId="61" fillId="26" borderId="28" xfId="57" applyFont="1" applyFill="1" applyBorder="1" applyAlignment="1">
      <alignment horizontal="center" vertical="center"/>
    </xf>
    <xf numFmtId="0" fontId="61" fillId="26" borderId="26" xfId="57" applyFont="1" applyFill="1" applyBorder="1" applyAlignment="1">
      <alignment horizontal="center" vertical="center"/>
    </xf>
    <xf numFmtId="0" fontId="61" fillId="26" borderId="26" xfId="57" applyFont="1" applyFill="1" applyBorder="1" applyAlignment="1">
      <alignment horizontal="center" vertical="center" wrapText="1"/>
    </xf>
    <xf numFmtId="0" fontId="61" fillId="26" borderId="27" xfId="57" applyFont="1" applyFill="1" applyBorder="1" applyAlignment="1">
      <alignment horizontal="center" vertical="center" wrapText="1"/>
    </xf>
    <xf numFmtId="0" fontId="61" fillId="0" borderId="0" xfId="57" applyFont="1" applyAlignment="1">
      <alignment horizontal="center" vertical="center"/>
    </xf>
    <xf numFmtId="0" fontId="61" fillId="0" borderId="29" xfId="57" applyFont="1" applyBorder="1" applyAlignment="1">
      <alignment horizontal="center"/>
    </xf>
    <xf numFmtId="0" fontId="2" fillId="0" borderId="14" xfId="57" applyFont="1" applyBorder="1" applyAlignment="1">
      <alignment horizontal="center"/>
    </xf>
    <xf numFmtId="0" fontId="2" fillId="0" borderId="10" xfId="57" applyBorder="1" applyAlignment="1">
      <alignment vertical="center"/>
    </xf>
    <xf numFmtId="0" fontId="2" fillId="0" borderId="10" xfId="57" applyBorder="1" applyAlignment="1">
      <alignment horizontal="center" vertical="center"/>
    </xf>
    <xf numFmtId="171" fontId="2" fillId="0" borderId="10" xfId="57" applyNumberFormat="1" applyBorder="1" applyAlignment="1">
      <alignment horizontal="center" vertical="center"/>
    </xf>
    <xf numFmtId="43" fontId="2" fillId="0" borderId="11" xfId="58" applyFont="1" applyBorder="1" applyAlignment="1">
      <alignment vertical="center"/>
    </xf>
    <xf numFmtId="43" fontId="2" fillId="0" borderId="0" xfId="57" applyNumberFormat="1" applyAlignment="1">
      <alignment vertical="center"/>
    </xf>
    <xf numFmtId="0" fontId="61" fillId="0" borderId="10" xfId="57" applyFont="1" applyBorder="1" applyAlignment="1">
      <alignment vertical="center"/>
    </xf>
    <xf numFmtId="43" fontId="2" fillId="0" borderId="10" xfId="58" applyFont="1" applyBorder="1" applyAlignment="1">
      <alignment vertical="center"/>
    </xf>
    <xf numFmtId="43" fontId="61" fillId="0" borderId="11" xfId="58" applyFont="1" applyBorder="1" applyAlignment="1">
      <alignment vertical="center"/>
    </xf>
    <xf numFmtId="0" fontId="61" fillId="0" borderId="14" xfId="57" applyFont="1" applyBorder="1" applyAlignment="1">
      <alignment horizontal="center"/>
    </xf>
    <xf numFmtId="0" fontId="62" fillId="0" borderId="10" xfId="57" applyFont="1" applyBorder="1" applyAlignment="1">
      <alignment vertical="center"/>
    </xf>
    <xf numFmtId="0" fontId="2" fillId="0" borderId="11" xfId="57" applyBorder="1" applyAlignment="1">
      <alignment vertical="center"/>
    </xf>
    <xf numFmtId="0" fontId="2" fillId="0" borderId="33" xfId="57" applyBorder="1" applyAlignment="1">
      <alignment vertical="center"/>
    </xf>
    <xf numFmtId="0" fontId="2" fillId="0" borderId="20" xfId="57" applyFont="1" applyBorder="1" applyAlignment="1">
      <alignment horizontal="center"/>
    </xf>
    <xf numFmtId="0" fontId="2" fillId="0" borderId="21" xfId="57" applyBorder="1" applyAlignment="1">
      <alignment vertical="center"/>
    </xf>
    <xf numFmtId="0" fontId="2" fillId="0" borderId="22" xfId="57" applyBorder="1" applyAlignment="1">
      <alignment vertical="center"/>
    </xf>
    <xf numFmtId="0" fontId="61" fillId="0" borderId="19" xfId="57" applyFont="1" applyBorder="1" applyAlignment="1">
      <alignment horizontal="center"/>
    </xf>
    <xf numFmtId="43" fontId="61" fillId="0" borderId="17" xfId="57" applyNumberFormat="1" applyFont="1" applyBorder="1" applyAlignment="1">
      <alignment vertical="center"/>
    </xf>
    <xf numFmtId="43" fontId="61" fillId="0" borderId="11" xfId="58" applyFont="1" applyFill="1" applyBorder="1" applyAlignment="1">
      <alignment vertical="center"/>
    </xf>
    <xf numFmtId="0" fontId="2" fillId="0" borderId="15" xfId="57" applyFont="1" applyBorder="1" applyAlignment="1">
      <alignment horizontal="center"/>
    </xf>
    <xf numFmtId="43" fontId="61" fillId="0" borderId="37" xfId="57" applyNumberFormat="1" applyFont="1" applyFill="1" applyBorder="1" applyAlignment="1">
      <alignment vertical="center"/>
    </xf>
    <xf numFmtId="0" fontId="64" fillId="0" borderId="0" xfId="59" applyFont="1"/>
    <xf numFmtId="0" fontId="2" fillId="0" borderId="0" xfId="59"/>
    <xf numFmtId="0" fontId="66" fillId="0" borderId="14" xfId="59" applyFont="1" applyBorder="1"/>
    <xf numFmtId="0" fontId="66" fillId="0" borderId="42" xfId="59" applyFont="1" applyBorder="1"/>
    <xf numFmtId="0" fontId="66" fillId="0" borderId="10" xfId="59" applyFont="1" applyBorder="1"/>
    <xf numFmtId="0" fontId="67" fillId="0" borderId="0" xfId="59" applyFont="1"/>
    <xf numFmtId="0" fontId="14" fillId="0" borderId="14" xfId="59" applyFont="1" applyBorder="1" applyAlignment="1">
      <alignment horizontal="center"/>
    </xf>
    <xf numFmtId="0" fontId="14" fillId="0" borderId="42" xfId="59" applyFont="1" applyBorder="1" applyAlignment="1">
      <alignment horizontal="center"/>
    </xf>
    <xf numFmtId="0" fontId="14" fillId="0" borderId="10" xfId="59" applyFont="1" applyBorder="1" applyAlignment="1">
      <alignment horizontal="center"/>
    </xf>
    <xf numFmtId="0" fontId="14" fillId="0" borderId="11" xfId="59" applyFont="1" applyBorder="1" applyAlignment="1">
      <alignment horizontal="center"/>
    </xf>
    <xf numFmtId="0" fontId="66" fillId="0" borderId="14" xfId="59" applyFont="1" applyBorder="1" applyAlignment="1">
      <alignment horizontal="center"/>
    </xf>
    <xf numFmtId="0" fontId="66" fillId="0" borderId="42" xfId="59" applyFont="1" applyBorder="1" applyAlignment="1">
      <alignment horizontal="center"/>
    </xf>
    <xf numFmtId="0" fontId="66" fillId="0" borderId="10" xfId="59" applyFont="1" applyFill="1" applyBorder="1"/>
    <xf numFmtId="0" fontId="66" fillId="0" borderId="10" xfId="59" applyFont="1" applyFill="1" applyBorder="1" applyAlignment="1">
      <alignment horizontal="center"/>
    </xf>
    <xf numFmtId="43" fontId="8" fillId="0" borderId="10" xfId="60" applyFont="1" applyFill="1" applyBorder="1"/>
    <xf numFmtId="43" fontId="8" fillId="0" borderId="11" xfId="60" applyFont="1" applyFill="1" applyBorder="1"/>
    <xf numFmtId="2" fontId="64" fillId="0" borderId="0" xfId="59" applyNumberFormat="1" applyFont="1" applyAlignment="1">
      <alignment vertical="center"/>
    </xf>
    <xf numFmtId="164" fontId="14" fillId="0" borderId="11" xfId="59" applyNumberFormat="1" applyFont="1" applyBorder="1"/>
    <xf numFmtId="0" fontId="64" fillId="0" borderId="0" xfId="59" applyFont="1" applyAlignment="1">
      <alignment vertical="center"/>
    </xf>
    <xf numFmtId="0" fontId="2" fillId="0" borderId="0" xfId="59" applyAlignment="1">
      <alignment vertical="center"/>
    </xf>
    <xf numFmtId="0" fontId="66" fillId="0" borderId="14" xfId="59" applyFont="1" applyBorder="1" applyAlignment="1">
      <alignment horizontal="center" vertical="center"/>
    </xf>
    <xf numFmtId="0" fontId="66" fillId="0" borderId="42" xfId="59" applyFont="1" applyBorder="1" applyAlignment="1">
      <alignment horizontal="center" vertical="center"/>
    </xf>
    <xf numFmtId="0" fontId="66" fillId="0" borderId="10" xfId="59" applyFont="1" applyFill="1" applyBorder="1" applyAlignment="1">
      <alignment horizontal="justify" vertical="center"/>
    </xf>
    <xf numFmtId="2" fontId="64" fillId="0" borderId="0" xfId="59" applyNumberFormat="1" applyFont="1" applyAlignment="1"/>
    <xf numFmtId="0" fontId="0" fillId="0" borderId="0" xfId="59" applyFont="1"/>
    <xf numFmtId="0" fontId="66" fillId="0" borderId="10" xfId="59" applyFont="1" applyFill="1" applyBorder="1" applyAlignment="1">
      <alignment horizontal="justify" vertical="center" wrapText="1"/>
    </xf>
    <xf numFmtId="43" fontId="14" fillId="0" borderId="11" xfId="60" applyFont="1" applyBorder="1"/>
    <xf numFmtId="0" fontId="66" fillId="0" borderId="34" xfId="59" applyFont="1" applyBorder="1" applyAlignment="1">
      <alignment horizontal="center"/>
    </xf>
    <xf numFmtId="0" fontId="68" fillId="0" borderId="0" xfId="59" applyFont="1" applyAlignment="1">
      <alignment vertical="center"/>
    </xf>
    <xf numFmtId="43" fontId="2" fillId="0" borderId="0" xfId="59" applyNumberFormat="1"/>
    <xf numFmtId="0" fontId="66" fillId="0" borderId="15" xfId="59" applyFont="1" applyBorder="1" applyAlignment="1">
      <alignment horizontal="center"/>
    </xf>
    <xf numFmtId="0" fontId="66" fillId="0" borderId="43" xfId="59" applyFont="1" applyBorder="1" applyAlignment="1">
      <alignment horizontal="center"/>
    </xf>
    <xf numFmtId="43" fontId="14" fillId="0" borderId="13" xfId="60" applyFont="1" applyBorder="1"/>
    <xf numFmtId="0" fontId="66" fillId="0" borderId="45" xfId="59" applyFont="1" applyBorder="1" applyAlignment="1">
      <alignment horizontal="center"/>
    </xf>
    <xf numFmtId="0" fontId="14" fillId="0" borderId="44" xfId="59" applyFont="1" applyBorder="1" applyAlignment="1"/>
    <xf numFmtId="0" fontId="14" fillId="0" borderId="43" xfId="59" applyFont="1" applyBorder="1" applyAlignment="1"/>
    <xf numFmtId="9" fontId="14" fillId="0" borderId="38" xfId="61" applyFont="1" applyBorder="1" applyAlignment="1"/>
    <xf numFmtId="43" fontId="14" fillId="0" borderId="37" xfId="60" applyFont="1" applyFill="1" applyBorder="1"/>
    <xf numFmtId="0" fontId="69" fillId="0" borderId="0" xfId="59" applyFont="1"/>
    <xf numFmtId="0" fontId="70" fillId="0" borderId="0" xfId="59" applyFont="1"/>
    <xf numFmtId="0" fontId="14" fillId="0" borderId="10" xfId="59" applyFont="1" applyBorder="1" applyAlignment="1">
      <alignment horizontal="center" vertical="center"/>
    </xf>
    <xf numFmtId="0" fontId="14" fillId="0" borderId="11" xfId="59" applyFont="1" applyBorder="1" applyAlignment="1">
      <alignment horizontal="center" vertical="center"/>
    </xf>
    <xf numFmtId="0" fontId="14" fillId="0" borderId="14" xfId="59" applyFont="1" applyBorder="1" applyAlignment="1">
      <alignment horizontal="center" vertical="center"/>
    </xf>
    <xf numFmtId="0" fontId="14" fillId="0" borderId="42" xfId="59" applyFont="1" applyBorder="1" applyAlignment="1">
      <alignment horizontal="center" vertical="center"/>
    </xf>
    <xf numFmtId="0" fontId="8" fillId="0" borderId="14" xfId="59" applyFont="1" applyBorder="1" applyAlignment="1">
      <alignment horizontal="center" vertical="center"/>
    </xf>
    <xf numFmtId="0" fontId="8" fillId="0" borderId="42" xfId="59" applyFont="1" applyBorder="1" applyAlignment="1">
      <alignment horizontal="center" vertical="center"/>
    </xf>
    <xf numFmtId="0" fontId="8" fillId="0" borderId="10" xfId="59" applyFont="1" applyBorder="1" applyAlignment="1">
      <alignment horizontal="left" vertical="center"/>
    </xf>
    <xf numFmtId="0" fontId="8" fillId="0" borderId="10" xfId="59" applyFont="1" applyBorder="1" applyAlignment="1">
      <alignment horizontal="center" vertical="center"/>
    </xf>
    <xf numFmtId="2" fontId="8" fillId="0" borderId="10" xfId="59" applyNumberFormat="1" applyFont="1" applyBorder="1" applyAlignment="1">
      <alignment horizontal="right" vertical="center"/>
    </xf>
    <xf numFmtId="43" fontId="8" fillId="0" borderId="10" xfId="59" applyNumberFormat="1" applyFont="1" applyBorder="1" applyAlignment="1">
      <alignment horizontal="right" vertical="center"/>
    </xf>
    <xf numFmtId="43" fontId="8" fillId="0" borderId="11" xfId="59" applyNumberFormat="1" applyFont="1" applyBorder="1" applyAlignment="1">
      <alignment horizontal="left" vertical="center"/>
    </xf>
    <xf numFmtId="0" fontId="8" fillId="0" borderId="10" xfId="59" applyFont="1" applyBorder="1" applyAlignment="1">
      <alignment horizontal="left" vertical="center" wrapText="1"/>
    </xf>
    <xf numFmtId="0" fontId="8" fillId="0" borderId="10" xfId="59" applyFont="1" applyBorder="1" applyAlignment="1">
      <alignment horizontal="right" vertical="center"/>
    </xf>
    <xf numFmtId="164" fontId="14" fillId="0" borderId="11" xfId="46" applyFont="1" applyBorder="1" applyAlignment="1">
      <alignment horizontal="left" vertical="center"/>
    </xf>
    <xf numFmtId="0" fontId="14" fillId="0" borderId="46" xfId="59" applyFont="1" applyBorder="1" applyAlignment="1">
      <alignment horizontal="center" vertical="center"/>
    </xf>
    <xf numFmtId="0" fontId="14" fillId="0" borderId="34" xfId="59" applyFont="1" applyBorder="1" applyAlignment="1">
      <alignment horizontal="center" vertical="center"/>
    </xf>
    <xf numFmtId="164" fontId="8" fillId="0" borderId="10" xfId="46" applyFont="1" applyBorder="1" applyAlignment="1">
      <alignment horizontal="left" vertical="center"/>
    </xf>
    <xf numFmtId="43" fontId="8" fillId="0" borderId="11" xfId="60" applyFont="1" applyBorder="1" applyAlignment="1">
      <alignment vertical="center"/>
    </xf>
    <xf numFmtId="164" fontId="2" fillId="0" borderId="0" xfId="46" applyFont="1"/>
    <xf numFmtId="164" fontId="14" fillId="0" borderId="35" xfId="46" applyFont="1" applyBorder="1" applyAlignment="1">
      <alignment horizontal="right" vertical="center"/>
    </xf>
    <xf numFmtId="0" fontId="8" fillId="0" borderId="10" xfId="59" applyFont="1" applyBorder="1" applyAlignment="1">
      <alignment horizontal="justify" vertical="center"/>
    </xf>
    <xf numFmtId="0" fontId="66" fillId="0" borderId="10" xfId="59" applyFont="1" applyBorder="1" applyAlignment="1">
      <alignment horizontal="center" vertical="center"/>
    </xf>
    <xf numFmtId="43" fontId="8" fillId="0" borderId="10" xfId="60" applyFont="1" applyBorder="1" applyAlignment="1">
      <alignment vertical="center"/>
    </xf>
    <xf numFmtId="43" fontId="8" fillId="0" borderId="10" xfId="60" applyFont="1" applyFill="1" applyBorder="1" applyAlignment="1">
      <alignment vertical="center"/>
    </xf>
    <xf numFmtId="2" fontId="64" fillId="0" borderId="0" xfId="59" applyNumberFormat="1" applyFont="1" applyAlignment="1">
      <alignment horizontal="left" vertical="center" wrapText="1"/>
    </xf>
    <xf numFmtId="0" fontId="68" fillId="0" borderId="10" xfId="59" applyFont="1" applyBorder="1" applyAlignment="1">
      <alignment horizontal="justify" vertical="center"/>
    </xf>
    <xf numFmtId="164" fontId="14" fillId="0" borderId="11" xfId="46" applyFont="1" applyBorder="1" applyAlignment="1">
      <alignment horizontal="right" vertical="center"/>
    </xf>
    <xf numFmtId="164" fontId="14" fillId="0" borderId="22" xfId="59" applyNumberFormat="1" applyFont="1" applyBorder="1" applyAlignment="1">
      <alignment vertical="center"/>
    </xf>
    <xf numFmtId="0" fontId="68" fillId="0" borderId="0" xfId="59" applyFont="1"/>
    <xf numFmtId="0" fontId="2" fillId="0" borderId="0" xfId="59" applyAlignment="1">
      <alignment horizontal="center"/>
    </xf>
    <xf numFmtId="0" fontId="14" fillId="0" borderId="29" xfId="59" applyFont="1" applyBorder="1" applyAlignment="1">
      <alignment horizontal="center" vertical="center"/>
    </xf>
    <xf numFmtId="0" fontId="14" fillId="0" borderId="14" xfId="59" applyFont="1" applyBorder="1" applyAlignment="1">
      <alignment horizontal="center" vertical="center"/>
    </xf>
    <xf numFmtId="164" fontId="21" fillId="0" borderId="10" xfId="37" quotePrefix="1" applyFont="1" applyFill="1" applyBorder="1" applyAlignment="1">
      <alignment horizontal="center" vertical="center"/>
    </xf>
    <xf numFmtId="164" fontId="21" fillId="0" borderId="10" xfId="37" applyFont="1" applyFill="1" applyBorder="1" applyAlignment="1">
      <alignment horizontal="justify" vertical="top" wrapText="1"/>
    </xf>
    <xf numFmtId="164" fontId="21" fillId="0" borderId="10" xfId="37" applyFont="1" applyFill="1" applyBorder="1" applyAlignment="1">
      <alignment horizontal="center" wrapText="1"/>
    </xf>
    <xf numFmtId="164" fontId="21" fillId="0" borderId="33" xfId="37" quotePrefix="1" applyFont="1" applyFill="1" applyBorder="1" applyAlignment="1">
      <alignment vertical="center"/>
    </xf>
    <xf numFmtId="164" fontId="21" fillId="0" borderId="10" xfId="37" quotePrefix="1" applyFont="1" applyFill="1" applyBorder="1" applyAlignment="1">
      <alignment vertical="center" wrapText="1"/>
    </xf>
    <xf numFmtId="164" fontId="71" fillId="0" borderId="10" xfId="37" quotePrefix="1" applyFont="1" applyFill="1" applyBorder="1" applyAlignment="1">
      <alignment vertical="center"/>
    </xf>
    <xf numFmtId="2" fontId="71" fillId="0" borderId="0" xfId="37" applyNumberFormat="1" applyFont="1" applyFill="1"/>
    <xf numFmtId="2" fontId="72" fillId="0" borderId="0" xfId="37" applyNumberFormat="1" applyFont="1" applyFill="1" applyAlignment="1">
      <alignment horizontal="center"/>
    </xf>
    <xf numFmtId="168" fontId="73" fillId="0" borderId="0" xfId="46" applyNumberFormat="1" applyFont="1" applyFill="1"/>
    <xf numFmtId="2" fontId="73" fillId="0" borderId="0" xfId="46" applyNumberFormat="1" applyFont="1" applyFill="1"/>
    <xf numFmtId="2" fontId="71" fillId="0" borderId="0" xfId="37" applyNumberFormat="1" applyFont="1" applyFill="1" applyAlignment="1">
      <alignment vertical="center"/>
    </xf>
    <xf numFmtId="0" fontId="74" fillId="0" borderId="0" xfId="59" applyFont="1" applyAlignment="1">
      <alignment vertical="center"/>
    </xf>
    <xf numFmtId="0" fontId="74" fillId="0" borderId="0" xfId="59" applyFont="1"/>
    <xf numFmtId="2" fontId="74" fillId="0" borderId="0" xfId="59" applyNumberFormat="1" applyFont="1" applyAlignment="1"/>
    <xf numFmtId="2" fontId="74" fillId="0" borderId="0" xfId="59" applyNumberFormat="1" applyFont="1" applyAlignment="1">
      <alignment vertical="center"/>
    </xf>
    <xf numFmtId="2" fontId="74" fillId="0" borderId="0" xfId="59" applyNumberFormat="1" applyFont="1" applyAlignment="1">
      <alignment horizontal="left" vertical="center" wrapText="1"/>
    </xf>
    <xf numFmtId="0" fontId="68" fillId="0" borderId="0" xfId="59" applyFont="1" applyBorder="1" applyAlignment="1">
      <alignment horizontal="center" vertical="center"/>
    </xf>
    <xf numFmtId="164" fontId="14" fillId="0" borderId="0" xfId="37" applyFont="1" applyFill="1"/>
    <xf numFmtId="0" fontId="14" fillId="0" borderId="29" xfId="59" applyFont="1" applyBorder="1" applyAlignment="1">
      <alignment horizontal="center" vertical="center"/>
    </xf>
    <xf numFmtId="0" fontId="14" fillId="0" borderId="14" xfId="59" applyFont="1" applyBorder="1" applyAlignment="1">
      <alignment horizontal="center" vertical="center"/>
    </xf>
    <xf numFmtId="164" fontId="14" fillId="0" borderId="0" xfId="37" applyFont="1" applyFill="1" applyAlignment="1">
      <alignment horizontal="center"/>
    </xf>
    <xf numFmtId="0" fontId="48" fillId="0" borderId="42" xfId="59" applyFont="1" applyBorder="1" applyAlignment="1">
      <alignment horizontal="center" vertical="center"/>
    </xf>
    <xf numFmtId="164" fontId="71" fillId="0" borderId="14" xfId="37" quotePrefix="1" applyFont="1" applyFill="1" applyBorder="1" applyAlignment="1">
      <alignment vertical="center"/>
    </xf>
    <xf numFmtId="164" fontId="71" fillId="0" borderId="24" xfId="37" quotePrefix="1" applyFont="1" applyFill="1" applyBorder="1" applyAlignment="1">
      <alignment vertical="center"/>
    </xf>
    <xf numFmtId="164" fontId="21" fillId="0" borderId="25" xfId="37" quotePrefix="1" applyFont="1" applyFill="1" applyBorder="1" applyAlignment="1">
      <alignment vertical="center" wrapText="1"/>
    </xf>
    <xf numFmtId="164" fontId="2" fillId="0" borderId="0" xfId="46" applyFont="1" applyAlignment="1">
      <alignment horizontal="center" vertical="center"/>
    </xf>
    <xf numFmtId="164" fontId="2" fillId="27" borderId="0" xfId="46" applyFont="1" applyFill="1" applyAlignment="1">
      <alignment horizontal="center" vertical="center"/>
    </xf>
    <xf numFmtId="164" fontId="2" fillId="0" borderId="0" xfId="46" applyFont="1" applyAlignment="1">
      <alignment vertical="center"/>
    </xf>
    <xf numFmtId="164" fontId="2" fillId="0" borderId="0" xfId="46" applyFont="1" applyAlignment="1">
      <alignment horizontal="center"/>
    </xf>
    <xf numFmtId="164" fontId="69" fillId="0" borderId="0" xfId="46" applyFont="1"/>
    <xf numFmtId="164" fontId="2" fillId="27" borderId="0" xfId="46" applyFont="1" applyFill="1" applyAlignment="1">
      <alignment horizontal="center"/>
    </xf>
    <xf numFmtId="164" fontId="2" fillId="27" borderId="0" xfId="46" applyFont="1" applyFill="1"/>
    <xf numFmtId="164" fontId="2" fillId="27" borderId="0" xfId="46" applyFont="1" applyFill="1" applyAlignment="1">
      <alignment horizontal="center" wrapText="1"/>
    </xf>
    <xf numFmtId="10" fontId="2" fillId="0" borderId="0" xfId="35" applyNumberFormat="1" applyFont="1"/>
    <xf numFmtId="164" fontId="1" fillId="0" borderId="0" xfId="46" applyFont="1"/>
    <xf numFmtId="2" fontId="8" fillId="0" borderId="10" xfId="59" applyNumberFormat="1" applyFont="1" applyFill="1" applyBorder="1" applyAlignment="1">
      <alignment horizontal="right" vertical="center"/>
    </xf>
    <xf numFmtId="164" fontId="21" fillId="0" borderId="12" xfId="37" quotePrefix="1" applyFont="1" applyFill="1" applyBorder="1" applyAlignment="1">
      <alignment vertical="center" wrapText="1"/>
    </xf>
    <xf numFmtId="43" fontId="64" fillId="0" borderId="0" xfId="59" applyNumberFormat="1" applyFont="1"/>
    <xf numFmtId="164" fontId="8" fillId="0" borderId="12" xfId="55" applyFont="1" applyFill="1" applyBorder="1" applyAlignment="1">
      <alignment horizontal="justify" vertical="top"/>
    </xf>
    <xf numFmtId="164" fontId="8" fillId="0" borderId="12" xfId="55" applyFont="1" applyFill="1" applyBorder="1" applyAlignment="1">
      <alignment horizontal="center" vertical="center"/>
    </xf>
    <xf numFmtId="164" fontId="8" fillId="0" borderId="13" xfId="55" applyFont="1" applyFill="1" applyBorder="1" applyAlignment="1">
      <alignment horizontal="center" vertical="center"/>
    </xf>
    <xf numFmtId="164" fontId="45" fillId="0" borderId="0" xfId="55" applyFont="1" applyFill="1" applyBorder="1" applyAlignment="1"/>
    <xf numFmtId="164" fontId="45" fillId="0" borderId="0" xfId="55" applyFont="1" applyFill="1" applyBorder="1" applyAlignment="1">
      <alignment horizontal="left"/>
    </xf>
    <xf numFmtId="164" fontId="21" fillId="0" borderId="14" xfId="37" quotePrefix="1" applyFont="1" applyFill="1" applyBorder="1" applyAlignment="1">
      <alignment vertical="center"/>
    </xf>
    <xf numFmtId="164" fontId="71" fillId="0" borderId="15" xfId="37" quotePrefix="1" applyFont="1" applyFill="1" applyBorder="1" applyAlignment="1">
      <alignment vertical="center"/>
    </xf>
    <xf numFmtId="4" fontId="21" fillId="0" borderId="12" xfId="37" applyNumberFormat="1" applyFont="1" applyFill="1" applyBorder="1"/>
    <xf numFmtId="164" fontId="21" fillId="0" borderId="12" xfId="37" applyFont="1" applyFill="1" applyBorder="1" applyAlignment="1">
      <alignment horizontal="center" wrapText="1"/>
    </xf>
    <xf numFmtId="43" fontId="8" fillId="0" borderId="33" xfId="60" applyFont="1" applyBorder="1" applyAlignment="1">
      <alignment vertical="center"/>
    </xf>
    <xf numFmtId="164" fontId="14" fillId="0" borderId="34" xfId="46" applyFont="1" applyBorder="1" applyAlignment="1">
      <alignment horizontal="right" vertical="center"/>
    </xf>
    <xf numFmtId="164" fontId="14" fillId="0" borderId="33" xfId="46" applyFont="1" applyBorder="1" applyAlignment="1">
      <alignment horizontal="right" vertical="center"/>
    </xf>
    <xf numFmtId="164" fontId="14" fillId="0" borderId="51" xfId="59" applyNumberFormat="1" applyFont="1" applyBorder="1" applyAlignment="1">
      <alignment vertical="center"/>
    </xf>
    <xf numFmtId="43" fontId="8" fillId="0" borderId="52" xfId="60" applyFont="1" applyBorder="1" applyAlignment="1">
      <alignment vertical="center"/>
    </xf>
    <xf numFmtId="0" fontId="74" fillId="0" borderId="52" xfId="59" applyFont="1" applyBorder="1"/>
    <xf numFmtId="164" fontId="14" fillId="0" borderId="52" xfId="46" applyFont="1" applyBorder="1" applyAlignment="1">
      <alignment horizontal="right" vertical="center"/>
    </xf>
    <xf numFmtId="0" fontId="74" fillId="0" borderId="52" xfId="59" applyFont="1" applyBorder="1" applyAlignment="1">
      <alignment vertical="center"/>
    </xf>
    <xf numFmtId="164" fontId="14" fillId="0" borderId="52" xfId="59" applyNumberFormat="1" applyFont="1" applyBorder="1" applyAlignment="1">
      <alignment vertical="center"/>
    </xf>
    <xf numFmtId="0" fontId="66" fillId="0" borderId="10" xfId="59" quotePrefix="1" applyFont="1" applyBorder="1" applyAlignment="1">
      <alignment horizontal="center" vertical="center"/>
    </xf>
    <xf numFmtId="172" fontId="21" fillId="0" borderId="0" xfId="37" applyNumberFormat="1" applyFont="1" applyFill="1"/>
    <xf numFmtId="173" fontId="21" fillId="0" borderId="0" xfId="37" applyNumberFormat="1" applyFont="1" applyFill="1"/>
    <xf numFmtId="174" fontId="21" fillId="0" borderId="0" xfId="37" applyNumberFormat="1" applyFont="1" applyFill="1"/>
    <xf numFmtId="175" fontId="21" fillId="0" borderId="0" xfId="46" applyNumberFormat="1" applyFont="1" applyFill="1"/>
    <xf numFmtId="172" fontId="21" fillId="0" borderId="18" xfId="46" applyNumberFormat="1" applyFont="1" applyFill="1" applyBorder="1"/>
    <xf numFmtId="172" fontId="21" fillId="0" borderId="10" xfId="46" applyNumberFormat="1" applyFont="1" applyFill="1" applyBorder="1"/>
    <xf numFmtId="172" fontId="21" fillId="0" borderId="12" xfId="46" applyNumberFormat="1" applyFont="1" applyFill="1" applyBorder="1"/>
    <xf numFmtId="172" fontId="8" fillId="0" borderId="0" xfId="46" applyNumberFormat="1" applyFont="1" applyFill="1"/>
    <xf numFmtId="172" fontId="21" fillId="0" borderId="26" xfId="46" applyNumberFormat="1" applyFont="1" applyFill="1" applyBorder="1"/>
    <xf numFmtId="172" fontId="22" fillId="0" borderId="26" xfId="46" applyNumberFormat="1" applyFont="1" applyFill="1" applyBorder="1" applyAlignment="1">
      <alignment horizontal="center" vertical="center"/>
    </xf>
    <xf numFmtId="172" fontId="8" fillId="0" borderId="0" xfId="46" applyNumberFormat="1" applyFont="1" applyFill="1" applyBorder="1"/>
    <xf numFmtId="172" fontId="8" fillId="0" borderId="10" xfId="46" applyNumberFormat="1" applyFont="1" applyBorder="1" applyAlignment="1">
      <alignment horizontal="right" vertical="center"/>
    </xf>
    <xf numFmtId="172" fontId="8" fillId="0" borderId="10" xfId="46" applyNumberFormat="1" applyFont="1" applyFill="1" applyBorder="1" applyAlignment="1">
      <alignment vertical="center"/>
    </xf>
    <xf numFmtId="43" fontId="61" fillId="0" borderId="33" xfId="58" applyFont="1" applyBorder="1" applyAlignment="1">
      <alignment horizontal="center" vertical="center"/>
    </xf>
    <xf numFmtId="43" fontId="61" fillId="0" borderId="34" xfId="58" applyFont="1" applyBorder="1" applyAlignment="1">
      <alignment horizontal="center" vertical="center"/>
    </xf>
    <xf numFmtId="43" fontId="61" fillId="0" borderId="42" xfId="58" applyFont="1" applyBorder="1" applyAlignment="1">
      <alignment horizontal="center" vertical="center"/>
    </xf>
    <xf numFmtId="43" fontId="61" fillId="0" borderId="44" xfId="58" applyFont="1" applyBorder="1" applyAlignment="1">
      <alignment horizontal="center" vertical="center"/>
    </xf>
    <xf numFmtId="43" fontId="61" fillId="0" borderId="43" xfId="58" applyFont="1" applyBorder="1" applyAlignment="1">
      <alignment horizontal="center" vertical="center"/>
    </xf>
    <xf numFmtId="43" fontId="61" fillId="0" borderId="38" xfId="58" applyFont="1" applyBorder="1" applyAlignment="1">
      <alignment horizontal="center" vertical="center"/>
    </xf>
    <xf numFmtId="0" fontId="60" fillId="0" borderId="19" xfId="57" applyFont="1" applyBorder="1" applyAlignment="1">
      <alignment horizontal="center" vertical="center"/>
    </xf>
    <xf numFmtId="0" fontId="60" fillId="0" borderId="18" xfId="57" applyFont="1" applyBorder="1" applyAlignment="1">
      <alignment horizontal="center" vertical="center"/>
    </xf>
    <xf numFmtId="0" fontId="60" fillId="0" borderId="17" xfId="57" applyFont="1" applyBorder="1" applyAlignment="1">
      <alignment horizontal="center" vertical="center"/>
    </xf>
    <xf numFmtId="0" fontId="61" fillId="0" borderId="15" xfId="57" applyFont="1" applyBorder="1" applyAlignment="1">
      <alignment horizontal="center" vertical="center"/>
    </xf>
    <xf numFmtId="0" fontId="61" fillId="0" borderId="12" xfId="57" applyFont="1" applyBorder="1" applyAlignment="1">
      <alignment horizontal="center" vertical="center"/>
    </xf>
    <xf numFmtId="0" fontId="61" fillId="0" borderId="13" xfId="57" applyFont="1" applyBorder="1" applyAlignment="1">
      <alignment horizontal="center" vertical="center"/>
    </xf>
    <xf numFmtId="0" fontId="61" fillId="0" borderId="30" xfId="57" applyFont="1" applyBorder="1" applyAlignment="1">
      <alignment horizontal="left" vertical="center"/>
    </xf>
    <xf numFmtId="0" fontId="61" fillId="0" borderId="31" xfId="57" applyFont="1" applyBorder="1" applyAlignment="1">
      <alignment horizontal="left" vertical="center"/>
    </xf>
    <xf numFmtId="0" fontId="61" fillId="0" borderId="32" xfId="57" applyFont="1" applyBorder="1" applyAlignment="1">
      <alignment horizontal="left" vertical="center"/>
    </xf>
    <xf numFmtId="0" fontId="61" fillId="0" borderId="33" xfId="57" applyFont="1" applyBorder="1" applyAlignment="1">
      <alignment horizontal="left" vertical="center"/>
    </xf>
    <xf numFmtId="0" fontId="61" fillId="0" borderId="34" xfId="57" applyFont="1" applyBorder="1" applyAlignment="1">
      <alignment horizontal="left" vertical="center"/>
    </xf>
    <xf numFmtId="0" fontId="61" fillId="0" borderId="35" xfId="57" applyFont="1" applyBorder="1" applyAlignment="1">
      <alignment horizontal="left" vertical="center"/>
    </xf>
    <xf numFmtId="0" fontId="61" fillId="0" borderId="30" xfId="57" applyFont="1" applyBorder="1" applyAlignment="1">
      <alignment horizontal="center" vertical="center"/>
    </xf>
    <xf numFmtId="0" fontId="61" fillId="0" borderId="31" xfId="57" applyFont="1" applyBorder="1" applyAlignment="1">
      <alignment horizontal="center" vertical="center"/>
    </xf>
    <xf numFmtId="0" fontId="61" fillId="0" borderId="36" xfId="57" applyFont="1" applyBorder="1" applyAlignment="1">
      <alignment horizontal="center" vertical="center"/>
    </xf>
    <xf numFmtId="0" fontId="14" fillId="0" borderId="44" xfId="59" applyFont="1" applyBorder="1" applyAlignment="1">
      <alignment horizontal="left"/>
    </xf>
    <xf numFmtId="0" fontId="14" fillId="0" borderId="43" xfId="59" applyFont="1" applyBorder="1" applyAlignment="1">
      <alignment horizontal="left"/>
    </xf>
    <xf numFmtId="0" fontId="14" fillId="0" borderId="38" xfId="59" applyFont="1" applyBorder="1" applyAlignment="1">
      <alignment horizontal="left"/>
    </xf>
    <xf numFmtId="0" fontId="68" fillId="0" borderId="45" xfId="59" applyFont="1" applyBorder="1" applyAlignment="1">
      <alignment horizontal="center" vertical="center"/>
    </xf>
    <xf numFmtId="0" fontId="68" fillId="0" borderId="43" xfId="59" applyFont="1" applyBorder="1" applyAlignment="1">
      <alignment horizontal="center" vertical="center"/>
    </xf>
    <xf numFmtId="0" fontId="68" fillId="0" borderId="37" xfId="59" applyFont="1" applyBorder="1" applyAlignment="1">
      <alignment horizontal="center" vertical="center"/>
    </xf>
    <xf numFmtId="0" fontId="66" fillId="0" borderId="14" xfId="59" applyFont="1" applyBorder="1" applyAlignment="1">
      <alignment horizontal="center"/>
    </xf>
    <xf numFmtId="0" fontId="66" fillId="0" borderId="42" xfId="59" applyFont="1" applyBorder="1" applyAlignment="1">
      <alignment horizontal="center"/>
    </xf>
    <xf numFmtId="0" fontId="66" fillId="0" borderId="10" xfId="59" applyFont="1" applyBorder="1" applyAlignment="1">
      <alignment horizontal="center"/>
    </xf>
    <xf numFmtId="0" fontId="66" fillId="0" borderId="11" xfId="59" applyFont="1" applyBorder="1" applyAlignment="1">
      <alignment horizontal="center"/>
    </xf>
    <xf numFmtId="0" fontId="14" fillId="0" borderId="10" xfId="59" applyFont="1" applyBorder="1" applyAlignment="1">
      <alignment horizontal="left"/>
    </xf>
    <xf numFmtId="0" fontId="14" fillId="0" borderId="11" xfId="59" applyFont="1" applyBorder="1" applyAlignment="1">
      <alignment horizontal="left"/>
    </xf>
    <xf numFmtId="0" fontId="14" fillId="0" borderId="10" xfId="59" applyFont="1" applyFill="1" applyBorder="1" applyAlignment="1">
      <alignment horizontal="right"/>
    </xf>
    <xf numFmtId="0" fontId="14" fillId="0" borderId="33" xfId="59" applyFont="1" applyBorder="1" applyAlignment="1">
      <alignment horizontal="left"/>
    </xf>
    <xf numFmtId="0" fontId="14" fillId="0" borderId="34" xfId="59" applyFont="1" applyBorder="1" applyAlignment="1">
      <alignment horizontal="left"/>
    </xf>
    <xf numFmtId="0" fontId="14" fillId="0" borderId="42" xfId="59" applyFont="1" applyBorder="1" applyAlignment="1">
      <alignment horizontal="left"/>
    </xf>
    <xf numFmtId="0" fontId="14" fillId="0" borderId="10" xfId="59" applyFont="1" applyBorder="1" applyAlignment="1">
      <alignment horizontal="right"/>
    </xf>
    <xf numFmtId="0" fontId="63" fillId="0" borderId="19" xfId="59" applyFont="1" applyBorder="1" applyAlignment="1">
      <alignment horizontal="center"/>
    </xf>
    <xf numFmtId="0" fontId="63" fillId="0" borderId="36" xfId="59" applyFont="1" applyBorder="1" applyAlignment="1">
      <alignment horizontal="center"/>
    </xf>
    <xf numFmtId="0" fontId="63" fillId="0" borderId="18" xfId="59" applyFont="1" applyBorder="1" applyAlignment="1">
      <alignment horizontal="center"/>
    </xf>
    <xf numFmtId="0" fontId="63" fillId="0" borderId="17" xfId="59" applyFont="1" applyBorder="1" applyAlignment="1">
      <alignment horizontal="center"/>
    </xf>
    <xf numFmtId="0" fontId="65" fillId="0" borderId="15" xfId="59" applyFont="1" applyBorder="1" applyAlignment="1">
      <alignment horizontal="center"/>
    </xf>
    <xf numFmtId="0" fontId="65" fillId="0" borderId="38" xfId="59" applyFont="1" applyBorder="1" applyAlignment="1">
      <alignment horizontal="center"/>
    </xf>
    <xf numFmtId="0" fontId="65" fillId="0" borderId="12" xfId="59" applyFont="1" applyBorder="1" applyAlignment="1">
      <alignment horizontal="center"/>
    </xf>
    <xf numFmtId="0" fontId="65" fillId="0" borderId="13" xfId="59" applyFont="1" applyBorder="1" applyAlignment="1">
      <alignment horizontal="center"/>
    </xf>
    <xf numFmtId="0" fontId="45" fillId="0" borderId="29" xfId="59" applyFont="1" applyBorder="1" applyAlignment="1">
      <alignment horizontal="center"/>
    </xf>
    <xf numFmtId="0" fontId="45" fillId="0" borderId="39" xfId="59" applyFont="1" applyBorder="1" applyAlignment="1">
      <alignment horizontal="center"/>
    </xf>
    <xf numFmtId="0" fontId="45" fillId="0" borderId="40" xfId="59" applyFont="1" applyBorder="1" applyAlignment="1">
      <alignment horizontal="center"/>
    </xf>
    <xf numFmtId="0" fontId="45" fillId="0" borderId="41" xfId="59" applyFont="1" applyBorder="1" applyAlignment="1">
      <alignment horizontal="center"/>
    </xf>
    <xf numFmtId="0" fontId="14" fillId="0" borderId="10" xfId="59" applyFont="1" applyBorder="1" applyAlignment="1">
      <alignment horizontal="center"/>
    </xf>
    <xf numFmtId="0" fontId="14" fillId="0" borderId="11" xfId="59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4" fontId="9" fillId="0" borderId="0" xfId="0" quotePrefix="1" applyNumberFormat="1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46" xfId="59" applyFont="1" applyBorder="1" applyAlignment="1">
      <alignment horizontal="right" vertical="center"/>
    </xf>
    <xf numFmtId="0" fontId="14" fillId="0" borderId="34" xfId="59" applyFont="1" applyBorder="1" applyAlignment="1">
      <alignment horizontal="right" vertical="center"/>
    </xf>
    <xf numFmtId="0" fontId="14" fillId="0" borderId="42" xfId="59" applyFont="1" applyBorder="1" applyAlignment="1">
      <alignment horizontal="right" vertical="center"/>
    </xf>
    <xf numFmtId="0" fontId="14" fillId="0" borderId="33" xfId="59" applyFont="1" applyBorder="1" applyAlignment="1">
      <alignment horizontal="left" vertical="center" wrapText="1"/>
    </xf>
    <xf numFmtId="0" fontId="14" fillId="0" borderId="34" xfId="59" applyFont="1" applyBorder="1" applyAlignment="1">
      <alignment horizontal="left" vertical="center" wrapText="1"/>
    </xf>
    <xf numFmtId="0" fontId="14" fillId="0" borderId="35" xfId="59" applyFont="1" applyBorder="1" applyAlignment="1">
      <alignment horizontal="left" vertical="center" wrapText="1"/>
    </xf>
    <xf numFmtId="0" fontId="66" fillId="0" borderId="46" xfId="59" applyFont="1" applyBorder="1" applyAlignment="1">
      <alignment horizontal="center" vertical="center"/>
    </xf>
    <xf numFmtId="0" fontId="66" fillId="0" borderId="34" xfId="59" applyFont="1" applyBorder="1" applyAlignment="1">
      <alignment horizontal="center" vertical="center"/>
    </xf>
    <xf numFmtId="0" fontId="66" fillId="0" borderId="35" xfId="59" applyFont="1" applyBorder="1" applyAlignment="1">
      <alignment horizontal="center" vertical="center"/>
    </xf>
    <xf numFmtId="0" fontId="14" fillId="0" borderId="10" xfId="59" applyFont="1" applyBorder="1" applyAlignment="1">
      <alignment horizontal="left" vertical="center"/>
    </xf>
    <xf numFmtId="0" fontId="14" fillId="0" borderId="11" xfId="59" applyFont="1" applyBorder="1" applyAlignment="1">
      <alignment horizontal="left" vertical="center"/>
    </xf>
    <xf numFmtId="0" fontId="63" fillId="0" borderId="19" xfId="59" applyFont="1" applyBorder="1" applyAlignment="1">
      <alignment horizontal="center" vertical="center"/>
    </xf>
    <xf numFmtId="0" fontId="63" fillId="0" borderId="36" xfId="59" applyFont="1" applyBorder="1" applyAlignment="1">
      <alignment horizontal="center" vertical="center"/>
    </xf>
    <xf numFmtId="0" fontId="63" fillId="0" borderId="18" xfId="59" applyFont="1" applyBorder="1" applyAlignment="1">
      <alignment horizontal="center" vertical="center"/>
    </xf>
    <xf numFmtId="0" fontId="63" fillId="0" borderId="17" xfId="59" applyFont="1" applyBorder="1" applyAlignment="1">
      <alignment horizontal="center" vertical="center"/>
    </xf>
    <xf numFmtId="0" fontId="65" fillId="0" borderId="15" xfId="59" applyFont="1" applyBorder="1" applyAlignment="1">
      <alignment horizontal="center" vertical="center" wrapText="1"/>
    </xf>
    <xf numFmtId="0" fontId="65" fillId="0" borderId="38" xfId="59" applyFont="1" applyBorder="1" applyAlignment="1">
      <alignment horizontal="center" vertical="center" wrapText="1"/>
    </xf>
    <xf numFmtId="0" fontId="65" fillId="0" borderId="12" xfId="59" applyFont="1" applyBorder="1" applyAlignment="1">
      <alignment horizontal="center" vertical="center" wrapText="1"/>
    </xf>
    <xf numFmtId="0" fontId="65" fillId="0" borderId="13" xfId="59" applyFont="1" applyBorder="1" applyAlignment="1">
      <alignment horizontal="center" vertical="center" wrapText="1"/>
    </xf>
    <xf numFmtId="0" fontId="14" fillId="0" borderId="19" xfId="59" applyFont="1" applyBorder="1" applyAlignment="1">
      <alignment horizontal="center" vertical="center"/>
    </xf>
    <xf numFmtId="0" fontId="14" fillId="0" borderId="36" xfId="59" applyFont="1" applyBorder="1" applyAlignment="1">
      <alignment horizontal="center" vertical="center"/>
    </xf>
    <xf numFmtId="0" fontId="14" fillId="0" borderId="18" xfId="59" applyFont="1" applyBorder="1" applyAlignment="1">
      <alignment horizontal="center" vertical="center"/>
    </xf>
    <xf numFmtId="0" fontId="14" fillId="0" borderId="17" xfId="59" applyFont="1" applyBorder="1" applyAlignment="1">
      <alignment horizontal="center" vertical="center"/>
    </xf>
    <xf numFmtId="0" fontId="14" fillId="0" borderId="20" xfId="59" applyFont="1" applyBorder="1" applyAlignment="1">
      <alignment horizontal="center" vertical="center"/>
    </xf>
    <xf numFmtId="0" fontId="14" fillId="0" borderId="29" xfId="59" applyFont="1" applyBorder="1" applyAlignment="1">
      <alignment horizontal="center" vertical="center"/>
    </xf>
    <xf numFmtId="0" fontId="14" fillId="0" borderId="21" xfId="59" applyFont="1" applyBorder="1" applyAlignment="1">
      <alignment horizontal="center" vertical="center"/>
    </xf>
    <xf numFmtId="0" fontId="14" fillId="0" borderId="40" xfId="59" applyFont="1" applyBorder="1" applyAlignment="1">
      <alignment horizontal="center" vertical="center"/>
    </xf>
    <xf numFmtId="0" fontId="14" fillId="0" borderId="10" xfId="59" applyFont="1" applyBorder="1" applyAlignment="1">
      <alignment horizontal="center" vertical="center"/>
    </xf>
    <xf numFmtId="0" fontId="14" fillId="0" borderId="11" xfId="59" applyFont="1" applyBorder="1" applyAlignment="1">
      <alignment horizontal="center" vertical="center"/>
    </xf>
    <xf numFmtId="0" fontId="14" fillId="0" borderId="34" xfId="59" applyFont="1" applyBorder="1" applyAlignment="1">
      <alignment horizontal="right" vertical="center" wrapText="1"/>
    </xf>
    <xf numFmtId="0" fontId="14" fillId="0" borderId="14" xfId="59" applyFont="1" applyBorder="1" applyAlignment="1">
      <alignment horizontal="center" vertical="center"/>
    </xf>
    <xf numFmtId="0" fontId="14" fillId="0" borderId="42" xfId="59" applyFont="1" applyBorder="1" applyAlignment="1">
      <alignment horizontal="center" vertical="center"/>
    </xf>
    <xf numFmtId="0" fontId="14" fillId="0" borderId="39" xfId="59" applyFont="1" applyBorder="1" applyAlignment="1">
      <alignment horizontal="center" vertical="center"/>
    </xf>
    <xf numFmtId="0" fontId="14" fillId="0" borderId="41" xfId="59" applyFont="1" applyBorder="1" applyAlignment="1">
      <alignment horizontal="center" vertical="center"/>
    </xf>
    <xf numFmtId="164" fontId="44" fillId="0" borderId="0" xfId="37" applyFont="1" applyFill="1" applyAlignment="1">
      <alignment horizontal="center"/>
    </xf>
    <xf numFmtId="164" fontId="20" fillId="0" borderId="0" xfId="37" applyFont="1" applyFill="1" applyAlignment="1">
      <alignment horizontal="center"/>
    </xf>
    <xf numFmtId="164" fontId="14" fillId="0" borderId="18" xfId="37" applyFont="1" applyFill="1" applyBorder="1" applyAlignment="1">
      <alignment horizontal="center" vertical="center"/>
    </xf>
    <xf numFmtId="164" fontId="14" fillId="0" borderId="21" xfId="37" applyFont="1" applyFill="1" applyBorder="1" applyAlignment="1">
      <alignment horizontal="center" vertical="center"/>
    </xf>
    <xf numFmtId="172" fontId="14" fillId="0" borderId="18" xfId="46" applyNumberFormat="1" applyFont="1" applyFill="1" applyBorder="1" applyAlignment="1">
      <alignment horizontal="center" vertical="center"/>
    </xf>
    <xf numFmtId="172" fontId="14" fillId="0" borderId="21" xfId="46" applyNumberFormat="1" applyFont="1" applyFill="1" applyBorder="1" applyAlignment="1">
      <alignment horizontal="center" vertical="center"/>
    </xf>
    <xf numFmtId="164" fontId="14" fillId="0" borderId="17" xfId="37" applyFont="1" applyFill="1" applyBorder="1" applyAlignment="1">
      <alignment horizontal="center" vertical="center" wrapText="1"/>
    </xf>
    <xf numFmtId="164" fontId="14" fillId="0" borderId="22" xfId="37" applyFont="1" applyFill="1" applyBorder="1" applyAlignment="1">
      <alignment horizontal="center" vertical="center" wrapText="1"/>
    </xf>
    <xf numFmtId="164" fontId="75" fillId="0" borderId="50" xfId="37" applyFont="1" applyFill="1" applyBorder="1" applyAlignment="1">
      <alignment horizontal="center"/>
    </xf>
    <xf numFmtId="164" fontId="14" fillId="0" borderId="0" xfId="37" applyFont="1" applyFill="1" applyAlignment="1">
      <alignment horizontal="right"/>
    </xf>
    <xf numFmtId="0" fontId="14" fillId="0" borderId="33" xfId="59" applyFont="1" applyBorder="1" applyAlignment="1">
      <alignment horizontal="left" vertical="center"/>
    </xf>
    <xf numFmtId="164" fontId="14" fillId="0" borderId="0" xfId="37" applyFont="1" applyFill="1" applyAlignment="1">
      <alignment horizontal="center"/>
    </xf>
    <xf numFmtId="164" fontId="14" fillId="0" borderId="19" xfId="37" applyFont="1" applyFill="1" applyBorder="1" applyAlignment="1">
      <alignment horizontal="center" vertical="center"/>
    </xf>
    <xf numFmtId="164" fontId="14" fillId="0" borderId="20" xfId="37" applyFont="1" applyFill="1" applyBorder="1" applyAlignment="1">
      <alignment horizontal="center" vertical="center"/>
    </xf>
    <xf numFmtId="0" fontId="14" fillId="0" borderId="47" xfId="59" applyFont="1" applyBorder="1" applyAlignment="1">
      <alignment horizontal="center" vertical="center"/>
    </xf>
    <xf numFmtId="0" fontId="14" fillId="0" borderId="48" xfId="59" applyFont="1" applyBorder="1" applyAlignment="1">
      <alignment horizontal="center" vertical="center"/>
    </xf>
    <xf numFmtId="0" fontId="14" fillId="0" borderId="49" xfId="59" applyFont="1" applyBorder="1" applyAlignment="1">
      <alignment horizontal="center" vertical="center"/>
    </xf>
    <xf numFmtId="0" fontId="14" fillId="0" borderId="40" xfId="59" applyFont="1" applyBorder="1" applyAlignment="1">
      <alignment horizontal="left" vertical="center" wrapText="1"/>
    </xf>
    <xf numFmtId="0" fontId="14" fillId="0" borderId="41" xfId="59" applyFont="1" applyBorder="1" applyAlignment="1">
      <alignment horizontal="left" vertical="center" wrapText="1"/>
    </xf>
    <xf numFmtId="0" fontId="14" fillId="0" borderId="40" xfId="59" applyFont="1" applyBorder="1" applyAlignment="1">
      <alignment horizontal="left" vertical="center"/>
    </xf>
    <xf numFmtId="0" fontId="14" fillId="0" borderId="41" xfId="59" applyFont="1" applyBorder="1" applyAlignment="1">
      <alignment horizontal="left" vertical="center"/>
    </xf>
    <xf numFmtId="164" fontId="19" fillId="0" borderId="0" xfId="55" applyFont="1" applyFill="1" applyAlignment="1">
      <alignment horizontal="left"/>
    </xf>
    <xf numFmtId="164" fontId="19" fillId="0" borderId="0" xfId="55" applyFont="1" applyFill="1" applyAlignment="1">
      <alignment horizontal="center"/>
    </xf>
    <xf numFmtId="164" fontId="20" fillId="0" borderId="0" xfId="55" applyFont="1" applyFill="1" applyAlignment="1">
      <alignment horizontal="center"/>
    </xf>
    <xf numFmtId="164" fontId="14" fillId="0" borderId="19" xfId="55" applyFont="1" applyFill="1" applyBorder="1" applyAlignment="1">
      <alignment horizontal="center" vertical="center"/>
    </xf>
    <xf numFmtId="164" fontId="14" fillId="0" borderId="20" xfId="55" applyFont="1" applyFill="1" applyBorder="1" applyAlignment="1">
      <alignment horizontal="center" vertical="center"/>
    </xf>
    <xf numFmtId="164" fontId="14" fillId="0" borderId="18" xfId="55" applyFont="1" applyFill="1" applyBorder="1" applyAlignment="1">
      <alignment horizontal="center" vertical="center"/>
    </xf>
    <xf numFmtId="164" fontId="14" fillId="0" borderId="21" xfId="55" applyFont="1" applyFill="1" applyBorder="1" applyAlignment="1">
      <alignment horizontal="center" vertical="center"/>
    </xf>
    <xf numFmtId="164" fontId="14" fillId="0" borderId="16" xfId="55" applyFont="1" applyFill="1" applyBorder="1" applyAlignment="1">
      <alignment horizontal="center" vertical="center" wrapText="1"/>
    </xf>
    <xf numFmtId="164" fontId="14" fillId="0" borderId="23" xfId="55" applyFont="1" applyFill="1" applyBorder="1" applyAlignment="1">
      <alignment horizontal="center" vertical="center" wrapText="1"/>
    </xf>
    <xf numFmtId="164" fontId="14" fillId="0" borderId="17" xfId="55" applyFont="1" applyFill="1" applyBorder="1" applyAlignment="1">
      <alignment horizontal="center" vertical="center" wrapText="1"/>
    </xf>
    <xf numFmtId="0" fontId="8" fillId="0" borderId="22" xfId="33" applyFont="1" applyFill="1" applyBorder="1"/>
    <xf numFmtId="169" fontId="22" fillId="0" borderId="27" xfId="37" applyNumberFormat="1" applyFont="1" applyFill="1" applyBorder="1"/>
    <xf numFmtId="169" fontId="21" fillId="0" borderId="12" xfId="37" applyNumberFormat="1" applyFont="1" applyFill="1" applyBorder="1"/>
    <xf numFmtId="169" fontId="23" fillId="0" borderId="0" xfId="46" applyNumberFormat="1" applyFont="1" applyFill="1"/>
    <xf numFmtId="172" fontId="8" fillId="0" borderId="0" xfId="46" applyNumberFormat="1" applyFont="1" applyBorder="1" applyAlignment="1">
      <alignment horizontal="center" vertical="center"/>
    </xf>
  </cellXfs>
  <cellStyles count="6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Moeda" xfId="31" builtinId="4"/>
    <cellStyle name="Moeda 2" xfId="53" xr:uid="{00000000-0005-0000-0000-00001F000000}"/>
    <cellStyle name="Moeda 3" xfId="62" xr:uid="{00000000-0005-0000-0000-000020000000}"/>
    <cellStyle name="Neutro" xfId="32" builtinId="28" customBuiltin="1"/>
    <cellStyle name="Normal" xfId="0" builtinId="0"/>
    <cellStyle name="Normal 2" xfId="48" xr:uid="{00000000-0005-0000-0000-000023000000}"/>
    <cellStyle name="Normal 3" xfId="50" xr:uid="{00000000-0005-0000-0000-000024000000}"/>
    <cellStyle name="Normal 3 2" xfId="59" xr:uid="{00000000-0005-0000-0000-000025000000}"/>
    <cellStyle name="Normal 4" xfId="56" xr:uid="{00000000-0005-0000-0000-000026000000}"/>
    <cellStyle name="Normal 5" xfId="57" xr:uid="{00000000-0005-0000-0000-000027000000}"/>
    <cellStyle name="Normal_COMPOSIÇÃO DE PREÇOS BÁSICOS" xfId="33" xr:uid="{00000000-0005-0000-0000-000028000000}"/>
    <cellStyle name="Nota" xfId="34" builtinId="10" customBuiltin="1"/>
    <cellStyle name="Porcentagem" xfId="35" builtinId="5"/>
    <cellStyle name="Porcentagem 2" xfId="52" xr:uid="{00000000-0005-0000-0000-00002B000000}"/>
    <cellStyle name="Porcentagem 3" xfId="61" xr:uid="{00000000-0005-0000-0000-00002C000000}"/>
    <cellStyle name="Ruim" xfId="30" builtinId="27" customBuiltin="1"/>
    <cellStyle name="Saída" xfId="36" builtinId="21" customBuiltin="1"/>
    <cellStyle name="Separador de milhares 2" xfId="54" xr:uid="{00000000-0005-0000-0000-00002E000000}"/>
    <cellStyle name="Separador de milhares_Pasta2" xfId="37" xr:uid="{00000000-0005-0000-0000-00002F000000}"/>
    <cellStyle name="Separador de milhares_Pasta2 2" xfId="55" xr:uid="{00000000-0005-0000-0000-000030000000}"/>
    <cellStyle name="Texto de Aviso" xfId="38" builtinId="11" customBuiltin="1"/>
    <cellStyle name="Texto Explicativo" xfId="39" builtinId="53" customBuiltin="1"/>
    <cellStyle name="Título" xfId="40" builtinId="15" customBuiltin="1"/>
    <cellStyle name="Título 1" xfId="41" builtinId="16" customBuiltin="1"/>
    <cellStyle name="Título 2" xfId="42" builtinId="17" customBuiltin="1"/>
    <cellStyle name="Título 3" xfId="43" builtinId="18" customBuiltin="1"/>
    <cellStyle name="Título 4" xfId="44" builtinId="19" customBuiltin="1"/>
    <cellStyle name="Total" xfId="45" builtinId="25" customBuiltin="1"/>
    <cellStyle name="Vírgula" xfId="46" builtinId="3"/>
    <cellStyle name="Vírgula 2" xfId="47" xr:uid="{00000000-0005-0000-0000-00003A000000}"/>
    <cellStyle name="Vírgula 3" xfId="49" xr:uid="{00000000-0005-0000-0000-00003B000000}"/>
    <cellStyle name="Vírgula 3 2" xfId="58" xr:uid="{00000000-0005-0000-0000-00003C000000}"/>
    <cellStyle name="Vírgula 4" xfId="51" xr:uid="{00000000-0005-0000-0000-00003D000000}"/>
    <cellStyle name="Vírgula 4 2" xfId="60" xr:uid="{00000000-0005-0000-0000-00003E000000}"/>
    <cellStyle name="Vírgula 5" xfId="63" xr:uid="{00000000-0005-0000-0000-00003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COMPOSI&#199;&#195;O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COMPOSI&#199;&#195;O%20N&#195;O%20DISPONIBILIZ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cuments/CABO/2018/CC%20001-PMCSA-SELP-2018/COMPOSI&#199;&#195;O%20LIXO%20-%20%200%20km%20%20-%202018%20FINAL%20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Documents/Garanhuns/2015/edital%20mar2015/COMPOSI&#199;&#195;O%20LIX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Varzea%20Grande\2013\agosto2013\COMPOSI&#199;&#195;O%20-%20C&#243;p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anta%20Cruz\EDITAL\julho08\COMPOSI&#199;&#195;O%20DE%20PRE&#199;OS%20B&#193;SI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ETOR"/>
      <sheetName val="VARREDOR"/>
      <sheetName val="FISCAL"/>
      <sheetName val="MOTORISTA"/>
      <sheetName val="ADM"/>
      <sheetName val="BASCULANTE"/>
      <sheetName val="BAÚ"/>
      <sheetName val="COMPACTADOR 15m³"/>
      <sheetName val="VARRIÇÃO"/>
      <sheetName val="DOMICILIAR"/>
      <sheetName val="CAPINAÇÃO"/>
      <sheetName val="PINTURA"/>
      <sheetName val="SELETIVA"/>
      <sheetName val="ECO"/>
      <sheetName val="PREÇOS"/>
      <sheetName val="ANEXO VI"/>
      <sheetName val="ANEXO VII"/>
      <sheetName val="ANEXO VIII"/>
    </sheetNames>
    <sheetDataSet>
      <sheetData sheetId="0" refreshError="1">
        <row r="18">
          <cell r="B18">
            <v>60</v>
          </cell>
        </row>
        <row r="51">
          <cell r="B51">
            <v>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25">
          <cell r="C25">
            <v>22</v>
          </cell>
        </row>
        <row r="27">
          <cell r="C27">
            <v>56</v>
          </cell>
        </row>
        <row r="28">
          <cell r="C28">
            <v>24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ETOR"/>
      <sheetName val="VARREDOR"/>
      <sheetName val="FISCAL"/>
      <sheetName val="MOTORISTA"/>
      <sheetName val="ADM"/>
      <sheetName val="BASCULANTE"/>
      <sheetName val="BAÚ"/>
      <sheetName val="COMPACTADOR 15m³"/>
      <sheetName val="VARRIÇÃO"/>
      <sheetName val="DOMICILIAR"/>
      <sheetName val="CAPINAÇÃO"/>
      <sheetName val="PINTURA"/>
      <sheetName val="SELETIVA"/>
      <sheetName val="PREÇOS"/>
      <sheetName val="ANEXO VI"/>
      <sheetName val="ANEXO VII"/>
      <sheetName val="ANEXO VIII"/>
    </sheetNames>
    <sheetDataSet>
      <sheetData sheetId="0">
        <row r="27">
          <cell r="B27">
            <v>2348.54</v>
          </cell>
        </row>
      </sheetData>
      <sheetData sheetId="1"/>
      <sheetData sheetId="2">
        <row r="29">
          <cell r="B29">
            <v>3322.2905000000001</v>
          </cell>
        </row>
      </sheetData>
      <sheetData sheetId="3">
        <row r="31">
          <cell r="B31">
            <v>2869.91</v>
          </cell>
        </row>
      </sheetData>
      <sheetData sheetId="4">
        <row r="37">
          <cell r="B37">
            <v>28839.65</v>
          </cell>
        </row>
      </sheetData>
      <sheetData sheetId="5">
        <row r="61">
          <cell r="B61">
            <v>7729.7075000000004</v>
          </cell>
        </row>
      </sheetData>
      <sheetData sheetId="6">
        <row r="61">
          <cell r="B61">
            <v>7729.7075000000004</v>
          </cell>
        </row>
      </sheetData>
      <sheetData sheetId="7"/>
      <sheetData sheetId="8"/>
      <sheetData sheetId="9"/>
      <sheetData sheetId="10"/>
      <sheetData sheetId="11"/>
      <sheetData sheetId="12"/>
      <sheetData sheetId="13">
        <row r="9">
          <cell r="C9">
            <v>75</v>
          </cell>
        </row>
        <row r="10">
          <cell r="C10">
            <v>20</v>
          </cell>
        </row>
        <row r="11">
          <cell r="C11">
            <v>18</v>
          </cell>
        </row>
        <row r="12">
          <cell r="C12">
            <v>5</v>
          </cell>
        </row>
        <row r="13">
          <cell r="C13">
            <v>21</v>
          </cell>
        </row>
        <row r="14">
          <cell r="C14">
            <v>75</v>
          </cell>
        </row>
        <row r="16">
          <cell r="C16">
            <v>25</v>
          </cell>
        </row>
        <row r="17">
          <cell r="C17">
            <v>12</v>
          </cell>
        </row>
        <row r="20">
          <cell r="C20">
            <v>19</v>
          </cell>
        </row>
        <row r="21">
          <cell r="C21">
            <v>17</v>
          </cell>
        </row>
        <row r="22">
          <cell r="C22">
            <v>2600</v>
          </cell>
        </row>
        <row r="24">
          <cell r="C24">
            <v>0.7</v>
          </cell>
        </row>
      </sheetData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"/>
      <sheetName val="RESUMO"/>
      <sheetName val="DADOS"/>
      <sheetName val="COLETOR"/>
      <sheetName val="VARREDOR"/>
      <sheetName val="MOTORISTA"/>
      <sheetName val="ENC I"/>
      <sheetName val="AUX I"/>
      <sheetName val="GER I"/>
      <sheetName val="VIGIA"/>
      <sheetName val="Estagiário"/>
      <sheetName val="orientador"/>
      <sheetName val="T SEG"/>
      <sheetName val="BAL RODOV"/>
      <sheetName val="Triturador"/>
      <sheetName val="Trator"/>
      <sheetName val="Furgão"/>
      <sheetName val="bAU"/>
      <sheetName val="BASCULANTE 6"/>
      <sheetName val="basculante 12"/>
      <sheetName val="COMPACTADOR 6 M3"/>
      <sheetName val="COMPACTADOR 15 m3"/>
      <sheetName val="Cavalo"/>
      <sheetName val="Carreta"/>
      <sheetName val="reserva"/>
      <sheetName val="cavalo1"/>
      <sheetName val="carreta1"/>
      <sheetName val="CONTAINER 1M"/>
      <sheetName val="CONTAINER 07M"/>
      <sheetName val="LAVADOR"/>
      <sheetName val="Un trat"/>
      <sheetName val="VARRIÇÃO"/>
      <sheetName val="DOMICILIAR"/>
      <sheetName val="volumosos"/>
      <sheetName val="Podação"/>
      <sheetName val="Ensacada"/>
      <sheetName val="Seletiva"/>
      <sheetName val="Saúde"/>
      <sheetName val="CAPINAÇÃO"/>
      <sheetName val="pintura"/>
      <sheetName val="diversos"/>
      <sheetName val="PÁ MEC"/>
      <sheetName val="REtro"/>
      <sheetName val="LOC CAÇ"/>
      <sheetName val="TRANSB"/>
      <sheetName val="Praias"/>
      <sheetName val="transbordo (2)"/>
      <sheetName val="transbordo"/>
      <sheetName val="destino"/>
      <sheetName val="Trat vol"/>
      <sheetName val="Pessoal"/>
      <sheetName val="caçamba12m"/>
      <sheetName val="escavadeira H"/>
      <sheetName val="Feiras"/>
      <sheetName val="praças"/>
      <sheetName val="CONTAINER (2)"/>
      <sheetName val="CONTAINER"/>
      <sheetName val="CONTAINER2A"/>
      <sheetName val="Adm1"/>
      <sheetName val="Adm1 (2)"/>
      <sheetName val="PREÇOS"/>
      <sheetName val="Encargos"/>
      <sheetName val="BDI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6">
          <cell r="B56">
            <v>16432.954083333334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ETOR"/>
      <sheetName val="VARREDOR"/>
      <sheetName val="orient"/>
      <sheetName val="FISCAL"/>
      <sheetName val="MOTORISTA"/>
      <sheetName val="Adm1"/>
      <sheetName val="veíc"/>
      <sheetName val="BAÚ"/>
      <sheetName val="BASCULANTE 6"/>
      <sheetName val="COMPACTADOR 15 m3"/>
      <sheetName val="LAVA CONT"/>
      <sheetName val="VARRIÇÃO"/>
      <sheetName val="DOMICILIAR"/>
      <sheetName val="LOC CONT1"/>
      <sheetName val="LOC CONT"/>
      <sheetName val="entulho "/>
      <sheetName val="SEletiva"/>
      <sheetName val="CAPINAÇÃO"/>
      <sheetName val="Pintura"/>
      <sheetName val="cap"/>
      <sheetName val="Loc caçamba"/>
      <sheetName val="Serv.Compl"/>
      <sheetName val="aterro"/>
      <sheetName val="top"/>
      <sheetName val="drenI"/>
      <sheetName val="drenII"/>
      <sheetName val="gases"/>
      <sheetName val="pluv"/>
      <sheetName val="PREÇOS"/>
      <sheetName val="PLANILHA"/>
      <sheetName val="ANEXO I - 4"/>
      <sheetName val="ANEXO I - 6"/>
      <sheetName val="IMPOSTOS-BDI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13">
          <cell r="F13">
            <v>6.666666666666667</v>
          </cell>
        </row>
        <row r="15">
          <cell r="F15">
            <v>6.0333333333333341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CULANTE (2)"/>
      <sheetName val="COLETOR"/>
      <sheetName val="VARREDOR"/>
      <sheetName val="FISCAL"/>
      <sheetName val="MOTORISTA"/>
      <sheetName val="ADM"/>
      <sheetName val="LOCA RETRO"/>
      <sheetName val="LOCA CAÇAMBA"/>
      <sheetName val="BASCULANTE"/>
      <sheetName val="BAÚ"/>
      <sheetName val="COMPACTADOR 15m³"/>
      <sheetName val="VARRIÇÃO"/>
      <sheetName val="DOMICILIAR"/>
      <sheetName val="CAPINAÇÃO"/>
      <sheetName val="PINTURA"/>
      <sheetName val="SELETIVA"/>
      <sheetName val="EDUCAÇÃO"/>
      <sheetName val="SAÚDE"/>
      <sheetName val="OPERAÇÃO"/>
      <sheetName val="3.30"/>
      <sheetName val="3.40"/>
      <sheetName val="PREÇOS"/>
      <sheetName val="ANEXO VI"/>
      <sheetName val="ANEXO VII"/>
      <sheetName val="ANEXO VIII"/>
    </sheetNames>
    <sheetDataSet>
      <sheetData sheetId="0" refreshError="1"/>
      <sheetData sheetId="1" refreshError="1">
        <row r="1">
          <cell r="A1" t="str">
            <v>PREFEITURA MUNICIPAL DE VARZEA GRANDE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(2)"/>
      <sheetName val="COLETOR"/>
      <sheetName val="VARREDOR"/>
      <sheetName val="FISCAL"/>
      <sheetName val="MOTORISTA"/>
      <sheetName val="ADM"/>
      <sheetName val="BASCULANTE (2)"/>
      <sheetName val="BASCULANTE"/>
      <sheetName val="COMPACTADOR 15m³"/>
      <sheetName val="VARRIÇÃO"/>
      <sheetName val="CAPINAÇÃO"/>
      <sheetName val="PINTURA"/>
      <sheetName val="DOMICILIAR"/>
      <sheetName val="ENTULHO"/>
      <sheetName val="COMPLEMENTARES"/>
      <sheetName val="OPERAÇÃO"/>
      <sheetName val="COMPOSIÇÃO 3.1"/>
      <sheetName val="COMPOSIÇÃO 3.2"/>
      <sheetName val="COMPOSIÇÃO 3.3"/>
      <sheetName val="COMPOSIÇÃO 3.4"/>
      <sheetName val="PREÇOS"/>
      <sheetName val="planilha"/>
      <sheetName val="QUAD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5">
          <cell r="B5" t="str">
            <v>Varrição manual de vias urbanas pavimentadas</v>
          </cell>
        </row>
        <row r="8">
          <cell r="B8" t="str">
            <v>Coleta e transporte de resíduos domiciliares, comerciais e de varrição</v>
          </cell>
        </row>
      </sheetData>
      <sheetData sheetId="2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topLeftCell="A36" workbookViewId="0">
      <selection activeCell="B14" sqref="B14"/>
    </sheetView>
  </sheetViews>
  <sheetFormatPr defaultColWidth="12" defaultRowHeight="12.75" x14ac:dyDescent="0.2"/>
  <cols>
    <col min="1" max="1" width="57.33203125" style="1" customWidth="1"/>
    <col min="2" max="2" width="13.33203125" style="1" bestFit="1" customWidth="1"/>
    <col min="3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ht="18" x14ac:dyDescent="0.25">
      <c r="A2" s="11"/>
      <c r="B2" s="12"/>
      <c r="C2" s="12"/>
      <c r="D2" s="12"/>
      <c r="E2" s="12"/>
    </row>
    <row r="3" spans="1:5" x14ac:dyDescent="0.2">
      <c r="A3" s="13"/>
      <c r="B3" s="13"/>
      <c r="C3" s="13"/>
      <c r="D3" s="13"/>
      <c r="E3" s="13"/>
    </row>
    <row r="4" spans="1:5" x14ac:dyDescent="0.2">
      <c r="A4" s="12"/>
      <c r="B4" s="13"/>
      <c r="C4" s="13"/>
      <c r="D4" s="13"/>
      <c r="E4" s="13"/>
    </row>
    <row r="5" spans="1:5" x14ac:dyDescent="0.2">
      <c r="B5" s="13"/>
      <c r="C5" s="13"/>
      <c r="D5" s="13"/>
      <c r="E5" s="13"/>
    </row>
    <row r="6" spans="1:5" x14ac:dyDescent="0.2">
      <c r="A6" s="14" t="s">
        <v>0</v>
      </c>
      <c r="B6" s="14"/>
      <c r="C6" s="14"/>
      <c r="D6" s="14"/>
      <c r="E6" s="14"/>
    </row>
    <row r="7" spans="1:5" x14ac:dyDescent="0.2">
      <c r="A7" s="6"/>
      <c r="B7" s="6"/>
      <c r="C7" s="6"/>
      <c r="D7" s="6"/>
    </row>
    <row r="8" spans="1:5" x14ac:dyDescent="0.2">
      <c r="A8" s="82" t="s">
        <v>14</v>
      </c>
      <c r="B8" s="2"/>
      <c r="C8" s="2"/>
      <c r="D8" s="2"/>
    </row>
    <row r="9" spans="1:5" x14ac:dyDescent="0.2">
      <c r="A9" s="6"/>
      <c r="B9" s="6"/>
      <c r="C9" s="6"/>
      <c r="D9" s="6"/>
    </row>
    <row r="11" spans="1:5" x14ac:dyDescent="0.2">
      <c r="A11" s="1" t="s">
        <v>15</v>
      </c>
    </row>
    <row r="13" spans="1:5" x14ac:dyDescent="0.2">
      <c r="A13" s="41" t="s">
        <v>141</v>
      </c>
      <c r="B13" s="8">
        <v>155000</v>
      </c>
    </row>
    <row r="14" spans="1:5" x14ac:dyDescent="0.2">
      <c r="A14" s="41" t="s">
        <v>16</v>
      </c>
      <c r="B14" s="8">
        <v>60</v>
      </c>
    </row>
    <row r="15" spans="1:5" x14ac:dyDescent="0.2">
      <c r="A15" s="41" t="s">
        <v>17</v>
      </c>
      <c r="B15" s="62">
        <v>0.3</v>
      </c>
    </row>
    <row r="16" spans="1:5" x14ac:dyDescent="0.2">
      <c r="A16" s="1" t="s">
        <v>18</v>
      </c>
      <c r="B16" s="8">
        <f>((+B13)-(+B13*B15))/B14</f>
        <v>1808.3333333333333</v>
      </c>
    </row>
    <row r="18" spans="1:4" x14ac:dyDescent="0.2">
      <c r="A18" s="41" t="s">
        <v>19</v>
      </c>
    </row>
    <row r="20" spans="1:4" x14ac:dyDescent="0.2">
      <c r="A20" s="19" t="s">
        <v>20</v>
      </c>
      <c r="B20" s="6">
        <f>+B13</f>
        <v>155000</v>
      </c>
      <c r="C20" s="6"/>
      <c r="D20" s="6"/>
    </row>
    <row r="21" spans="1:4" x14ac:dyDescent="0.2">
      <c r="A21" s="19" t="s">
        <v>21</v>
      </c>
      <c r="B21" s="34">
        <v>0.01</v>
      </c>
      <c r="C21" s="6"/>
      <c r="D21" s="6"/>
    </row>
    <row r="22" spans="1:4" x14ac:dyDescent="0.2">
      <c r="A22" s="19" t="s">
        <v>22</v>
      </c>
      <c r="B22" s="6">
        <f>+B20*B21</f>
        <v>1550</v>
      </c>
      <c r="C22" s="6"/>
      <c r="D22" s="6"/>
    </row>
    <row r="23" spans="1:4" x14ac:dyDescent="0.2">
      <c r="A23" s="6" t="s">
        <v>8</v>
      </c>
      <c r="B23" s="6" t="s">
        <v>8</v>
      </c>
      <c r="C23" s="6" t="s">
        <v>8</v>
      </c>
      <c r="D23" s="6"/>
    </row>
    <row r="24" spans="1:4" x14ac:dyDescent="0.2">
      <c r="A24" s="6" t="s">
        <v>23</v>
      </c>
      <c r="B24" s="6" t="s">
        <v>8</v>
      </c>
      <c r="C24" s="6" t="s">
        <v>8</v>
      </c>
      <c r="D24" s="6" t="s">
        <v>8</v>
      </c>
    </row>
    <row r="26" spans="1:4" x14ac:dyDescent="0.2">
      <c r="A26" s="41" t="s">
        <v>24</v>
      </c>
      <c r="B26" s="8">
        <v>2.33</v>
      </c>
    </row>
    <row r="27" spans="1:4" x14ac:dyDescent="0.2">
      <c r="A27" s="41" t="s">
        <v>196</v>
      </c>
      <c r="B27" s="8">
        <f>90*26</f>
        <v>2340</v>
      </c>
    </row>
    <row r="28" spans="1:4" x14ac:dyDescent="0.2">
      <c r="A28" s="41" t="s">
        <v>25</v>
      </c>
      <c r="B28" s="8">
        <v>2.4</v>
      </c>
    </row>
    <row r="29" spans="1:4" x14ac:dyDescent="0.2">
      <c r="A29" s="22" t="s">
        <v>26</v>
      </c>
      <c r="B29" s="8">
        <f>+B27/B28*B26</f>
        <v>2271.75</v>
      </c>
    </row>
    <row r="30" spans="1:4" x14ac:dyDescent="0.2">
      <c r="A30" s="41"/>
      <c r="B30" s="8"/>
    </row>
    <row r="31" spans="1:4" x14ac:dyDescent="0.2">
      <c r="A31" s="6" t="s">
        <v>27</v>
      </c>
      <c r="B31" s="6" t="s">
        <v>8</v>
      </c>
    </row>
    <row r="33" spans="1:2" x14ac:dyDescent="0.2">
      <c r="A33" s="41" t="s">
        <v>98</v>
      </c>
      <c r="B33" s="8">
        <f>1150*6</f>
        <v>6900</v>
      </c>
    </row>
    <row r="34" spans="1:2" x14ac:dyDescent="0.2">
      <c r="A34" s="41" t="s">
        <v>28</v>
      </c>
      <c r="B34" s="8">
        <v>40000</v>
      </c>
    </row>
    <row r="35" spans="1:2" x14ac:dyDescent="0.2">
      <c r="A35" s="41" t="s">
        <v>203</v>
      </c>
      <c r="B35" s="8">
        <f>B27</f>
        <v>2340</v>
      </c>
    </row>
    <row r="36" spans="1:2" x14ac:dyDescent="0.2">
      <c r="A36" s="41" t="s">
        <v>29</v>
      </c>
      <c r="B36" s="8">
        <f>+B33*B35/B34</f>
        <v>403.65</v>
      </c>
    </row>
    <row r="37" spans="1:2" x14ac:dyDescent="0.2">
      <c r="A37" s="41"/>
      <c r="B37" s="8"/>
    </row>
    <row r="38" spans="1:2" x14ac:dyDescent="0.2">
      <c r="A38" s="41" t="s">
        <v>30</v>
      </c>
    </row>
    <row r="39" spans="1:2" x14ac:dyDescent="0.2">
      <c r="A39" s="41" t="s">
        <v>7</v>
      </c>
    </row>
    <row r="40" spans="1:2" x14ac:dyDescent="0.2">
      <c r="A40" s="41" t="s">
        <v>31</v>
      </c>
      <c r="B40" s="62">
        <v>0.5</v>
      </c>
    </row>
    <row r="41" spans="1:2" x14ac:dyDescent="0.2">
      <c r="A41" s="41" t="s">
        <v>32</v>
      </c>
      <c r="B41" s="35">
        <f>+B20</f>
        <v>155000</v>
      </c>
    </row>
    <row r="42" spans="1:2" x14ac:dyDescent="0.2">
      <c r="A42" s="41" t="s">
        <v>33</v>
      </c>
      <c r="B42" s="8">
        <v>60</v>
      </c>
    </row>
    <row r="43" spans="1:2" x14ac:dyDescent="0.2">
      <c r="A43" s="41" t="s">
        <v>34</v>
      </c>
      <c r="B43" s="8">
        <f>+B40*B41/B42</f>
        <v>1291.6666666666667</v>
      </c>
    </row>
    <row r="45" spans="1:2" x14ac:dyDescent="0.2">
      <c r="A45" s="22" t="s">
        <v>74</v>
      </c>
      <c r="B45" s="8"/>
    </row>
    <row r="46" spans="1:2" x14ac:dyDescent="0.2">
      <c r="A46" s="41"/>
      <c r="B46" s="8"/>
    </row>
    <row r="47" spans="1:2" x14ac:dyDescent="0.2">
      <c r="A47" s="22" t="s">
        <v>75</v>
      </c>
      <c r="B47" s="63">
        <v>47.5</v>
      </c>
    </row>
    <row r="48" spans="1:2" x14ac:dyDescent="0.2">
      <c r="A48" s="22" t="s">
        <v>76</v>
      </c>
      <c r="B48" s="8">
        <v>15.66</v>
      </c>
    </row>
    <row r="49" spans="1:2" x14ac:dyDescent="0.2">
      <c r="A49" s="22" t="s">
        <v>77</v>
      </c>
      <c r="B49" s="8">
        <v>0</v>
      </c>
    </row>
    <row r="50" spans="1:2" x14ac:dyDescent="0.2">
      <c r="A50" s="22" t="s">
        <v>78</v>
      </c>
      <c r="B50" s="8">
        <f>5.3*1.3</f>
        <v>6.89</v>
      </c>
    </row>
    <row r="51" spans="1:2" x14ac:dyDescent="0.2">
      <c r="A51" s="22" t="s">
        <v>189</v>
      </c>
      <c r="B51" s="8">
        <f>8*10</f>
        <v>80</v>
      </c>
    </row>
    <row r="52" spans="1:2" x14ac:dyDescent="0.2">
      <c r="A52" s="22" t="s">
        <v>79</v>
      </c>
      <c r="B52" s="8">
        <f>(+B47+B48+B49+B50)*15%</f>
        <v>10.507499999999999</v>
      </c>
    </row>
    <row r="53" spans="1:2" x14ac:dyDescent="0.2">
      <c r="A53" s="64" t="s">
        <v>80</v>
      </c>
      <c r="B53" s="65">
        <f>+B47+B48+B49+B50+B51+B52</f>
        <v>160.5575</v>
      </c>
    </row>
    <row r="54" spans="1:2" x14ac:dyDescent="0.2">
      <c r="A54" s="22"/>
      <c r="B54" s="8"/>
    </row>
    <row r="55" spans="1:2" x14ac:dyDescent="0.2">
      <c r="A55" s="22" t="s">
        <v>81</v>
      </c>
      <c r="B55" s="8"/>
    </row>
    <row r="56" spans="1:2" x14ac:dyDescent="0.2">
      <c r="A56" s="22"/>
      <c r="B56" s="8"/>
    </row>
    <row r="57" spans="1:2" x14ac:dyDescent="0.2">
      <c r="A57" s="22" t="s">
        <v>143</v>
      </c>
      <c r="B57" s="8">
        <f>(+B20*3%)/12</f>
        <v>387.5</v>
      </c>
    </row>
    <row r="58" spans="1:2" x14ac:dyDescent="0.2">
      <c r="A58" s="22" t="s">
        <v>142</v>
      </c>
      <c r="B58" s="8">
        <f>(+B20*1.5%)/12</f>
        <v>193.75</v>
      </c>
    </row>
    <row r="59" spans="1:2" x14ac:dyDescent="0.2">
      <c r="A59" s="66" t="s">
        <v>82</v>
      </c>
      <c r="B59" s="67">
        <f>+B57+B58</f>
        <v>581.25</v>
      </c>
    </row>
    <row r="61" spans="1:2" x14ac:dyDescent="0.2">
      <c r="A61" s="47" t="s">
        <v>83</v>
      </c>
      <c r="B61" s="48">
        <f>B59+B53+B43+B36+B29+B22+B16</f>
        <v>8067.2074999999995</v>
      </c>
    </row>
    <row r="63" spans="1:2" x14ac:dyDescent="0.2">
      <c r="A63" s="47" t="s">
        <v>191</v>
      </c>
      <c r="B63" s="48">
        <f>+B61-B16-B22-B59</f>
        <v>4127.6241666666665</v>
      </c>
    </row>
  </sheetData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4"/>
  <sheetViews>
    <sheetView topLeftCell="A33" workbookViewId="0">
      <selection activeCell="A75" sqref="A75"/>
    </sheetView>
  </sheetViews>
  <sheetFormatPr defaultColWidth="12" defaultRowHeight="12.75" x14ac:dyDescent="0.2"/>
  <cols>
    <col min="1" max="1" width="48" style="13" customWidth="1"/>
    <col min="2" max="2" width="8.5" style="13" customWidth="1"/>
    <col min="3" max="3" width="6" style="13" customWidth="1"/>
    <col min="4" max="4" width="12.83203125" style="13" customWidth="1"/>
    <col min="5" max="5" width="10.1640625" style="13" customWidth="1"/>
    <col min="6" max="6" width="15.33203125" style="13" customWidth="1"/>
    <col min="7" max="7" width="6.6640625" style="13" customWidth="1"/>
    <col min="8" max="16384" width="12" style="1"/>
  </cols>
  <sheetData>
    <row r="1" spans="1:8" ht="18" x14ac:dyDescent="0.25">
      <c r="A1" s="75" t="s">
        <v>211</v>
      </c>
      <c r="B1" s="10"/>
      <c r="C1" s="10"/>
      <c r="D1" s="11"/>
      <c r="E1" s="11"/>
      <c r="F1" s="11"/>
      <c r="G1" s="11"/>
    </row>
    <row r="2" spans="1:8" x14ac:dyDescent="0.2">
      <c r="A2" s="76"/>
    </row>
    <row r="3" spans="1:8" x14ac:dyDescent="0.2">
      <c r="A3" s="14" t="s">
        <v>0</v>
      </c>
      <c r="B3" s="14"/>
      <c r="C3" s="14"/>
      <c r="D3" s="14"/>
      <c r="E3" s="14"/>
      <c r="F3" s="14"/>
      <c r="G3" s="14"/>
    </row>
    <row r="4" spans="1:8" x14ac:dyDescent="0.2">
      <c r="A4" s="6"/>
      <c r="B4" s="6"/>
      <c r="C4" s="6"/>
      <c r="D4" s="6"/>
      <c r="E4" s="6"/>
      <c r="F4" s="6"/>
      <c r="G4" s="6"/>
    </row>
    <row r="5" spans="1:8" x14ac:dyDescent="0.2">
      <c r="A5" s="15" t="s">
        <v>221</v>
      </c>
      <c r="B5" s="15"/>
      <c r="C5" s="15"/>
      <c r="D5" s="2"/>
      <c r="E5" s="2"/>
      <c r="F5" s="2"/>
      <c r="G5" s="2"/>
    </row>
    <row r="6" spans="1:8" x14ac:dyDescent="0.2">
      <c r="A6" s="6"/>
      <c r="B6" s="6"/>
      <c r="C6" s="6"/>
      <c r="D6" s="6"/>
      <c r="E6" s="6"/>
      <c r="F6" s="6"/>
      <c r="G6" s="6"/>
    </row>
    <row r="7" spans="1:8" x14ac:dyDescent="0.2">
      <c r="A7" s="16" t="s">
        <v>35</v>
      </c>
      <c r="B7" s="16"/>
      <c r="C7" s="16"/>
      <c r="D7" s="2">
        <f>D12+D17</f>
        <v>5739.82</v>
      </c>
      <c r="E7" s="6"/>
      <c r="F7" s="6"/>
      <c r="G7" s="6"/>
    </row>
    <row r="8" spans="1:8" x14ac:dyDescent="0.2">
      <c r="A8" s="6"/>
      <c r="B8" s="6"/>
      <c r="C8" s="6"/>
      <c r="D8" s="6"/>
      <c r="E8" s="6"/>
      <c r="F8" s="6"/>
      <c r="G8" s="6"/>
    </row>
    <row r="9" spans="1:8" x14ac:dyDescent="0.2">
      <c r="A9" s="18" t="s">
        <v>169</v>
      </c>
      <c r="B9" s="18"/>
      <c r="C9" s="18"/>
      <c r="D9" s="6">
        <v>0</v>
      </c>
      <c r="E9" s="6" t="s">
        <v>36</v>
      </c>
      <c r="F9" s="6"/>
      <c r="G9" s="6"/>
    </row>
    <row r="10" spans="1:8" x14ac:dyDescent="0.2">
      <c r="A10" s="19" t="s">
        <v>86</v>
      </c>
      <c r="B10" s="19"/>
      <c r="C10" s="19"/>
      <c r="D10" s="6">
        <f>COLETOR!B27</f>
        <v>3918.9569400000005</v>
      </c>
      <c r="E10" s="19" t="s">
        <v>37</v>
      </c>
      <c r="F10" s="6"/>
      <c r="G10" s="6"/>
    </row>
    <row r="11" spans="1:8" x14ac:dyDescent="0.2">
      <c r="A11" s="18" t="s">
        <v>43</v>
      </c>
      <c r="B11" s="18"/>
      <c r="C11" s="18"/>
      <c r="D11" s="6">
        <f>D9*D10</f>
        <v>0</v>
      </c>
      <c r="E11" s="6" t="s">
        <v>39</v>
      </c>
      <c r="F11" s="6"/>
      <c r="G11" s="6"/>
    </row>
    <row r="12" spans="1:8" x14ac:dyDescent="0.2">
      <c r="A12" s="18" t="s">
        <v>38</v>
      </c>
      <c r="B12" s="18"/>
      <c r="C12" s="18"/>
      <c r="D12" s="6">
        <f>D11</f>
        <v>0</v>
      </c>
      <c r="E12" s="6" t="s">
        <v>39</v>
      </c>
      <c r="F12" s="6"/>
      <c r="G12" s="6"/>
    </row>
    <row r="13" spans="1:8" x14ac:dyDescent="0.2">
      <c r="A13" s="18"/>
      <c r="B13" s="18"/>
      <c r="C13" s="18"/>
      <c r="D13" s="6"/>
      <c r="E13" s="6"/>
      <c r="F13" s="6"/>
      <c r="G13" s="6"/>
    </row>
    <row r="14" spans="1:8" x14ac:dyDescent="0.2">
      <c r="A14" s="19" t="s">
        <v>54</v>
      </c>
      <c r="B14" s="19"/>
      <c r="C14" s="19"/>
      <c r="D14" s="6">
        <v>2</v>
      </c>
      <c r="E14" s="6" t="s">
        <v>36</v>
      </c>
      <c r="F14" s="6"/>
      <c r="G14" s="6"/>
    </row>
    <row r="15" spans="1:8" x14ac:dyDescent="0.2">
      <c r="A15" s="6" t="s">
        <v>55</v>
      </c>
      <c r="B15" s="6"/>
      <c r="C15" s="6"/>
      <c r="D15" s="6">
        <v>2869.91</v>
      </c>
      <c r="E15" s="6" t="s">
        <v>37</v>
      </c>
      <c r="F15" s="6"/>
      <c r="G15" s="6"/>
      <c r="H15" s="48"/>
    </row>
    <row r="16" spans="1:8" x14ac:dyDescent="0.2">
      <c r="A16" s="18" t="s">
        <v>43</v>
      </c>
      <c r="B16" s="18"/>
      <c r="C16" s="18"/>
      <c r="D16" s="6">
        <f>+D15*D14</f>
        <v>5739.82</v>
      </c>
      <c r="E16" s="6" t="s">
        <v>39</v>
      </c>
      <c r="F16" s="6"/>
      <c r="G16" s="6"/>
    </row>
    <row r="17" spans="1:7" x14ac:dyDescent="0.2">
      <c r="A17" s="6" t="s">
        <v>222</v>
      </c>
      <c r="B17" s="6"/>
      <c r="C17" s="6"/>
      <c r="D17" s="6">
        <f>D16</f>
        <v>5739.82</v>
      </c>
      <c r="E17" s="6" t="s">
        <v>45</v>
      </c>
      <c r="F17" s="6"/>
      <c r="G17" s="6"/>
    </row>
    <row r="18" spans="1:7" x14ac:dyDescent="0.2">
      <c r="A18" s="18"/>
      <c r="B18" s="18"/>
      <c r="C18" s="18"/>
      <c r="D18" s="6"/>
      <c r="E18" s="6"/>
      <c r="F18" s="6"/>
      <c r="G18" s="6"/>
    </row>
    <row r="19" spans="1:7" x14ac:dyDescent="0.2">
      <c r="A19" s="28" t="s">
        <v>89</v>
      </c>
      <c r="B19" s="28"/>
      <c r="C19" s="28"/>
      <c r="D19" s="21">
        <f>D35+D37</f>
        <v>0</v>
      </c>
      <c r="E19" s="6"/>
      <c r="F19" s="6"/>
      <c r="G19" s="1"/>
    </row>
    <row r="20" spans="1:7" x14ac:dyDescent="0.2">
      <c r="A20" s="20"/>
      <c r="B20" s="20"/>
      <c r="C20" s="20"/>
      <c r="D20" s="21"/>
      <c r="E20" s="6"/>
      <c r="F20" s="6"/>
      <c r="G20" s="1"/>
    </row>
    <row r="21" spans="1:7" x14ac:dyDescent="0.2">
      <c r="A21" s="22" t="s">
        <v>121</v>
      </c>
      <c r="B21" s="23">
        <v>0</v>
      </c>
      <c r="C21" s="33" t="s">
        <v>122</v>
      </c>
      <c r="D21" s="6">
        <f>B21*[2]PREÇOS!C10</f>
        <v>0</v>
      </c>
      <c r="E21" s="6" t="s">
        <v>39</v>
      </c>
      <c r="F21" s="23"/>
      <c r="G21" s="6"/>
    </row>
    <row r="22" spans="1:7" x14ac:dyDescent="0.2">
      <c r="A22" s="6" t="s">
        <v>123</v>
      </c>
      <c r="B22" s="23">
        <v>0</v>
      </c>
      <c r="C22" s="33" t="s">
        <v>122</v>
      </c>
      <c r="D22" s="6">
        <f>B22*[2]PREÇOS!C9</f>
        <v>0</v>
      </c>
      <c r="E22" s="6" t="s">
        <v>39</v>
      </c>
      <c r="F22" s="23"/>
      <c r="G22" s="6"/>
    </row>
    <row r="23" spans="1:7" x14ac:dyDescent="0.2">
      <c r="A23" s="6" t="s">
        <v>124</v>
      </c>
      <c r="B23" s="23">
        <v>0</v>
      </c>
      <c r="C23" s="33" t="s">
        <v>122</v>
      </c>
      <c r="D23" s="6">
        <f>B23*[2]PREÇOS!C12</f>
        <v>0</v>
      </c>
      <c r="E23" s="6" t="s">
        <v>39</v>
      </c>
      <c r="F23" s="25"/>
      <c r="G23" s="6"/>
    </row>
    <row r="24" spans="1:7" x14ac:dyDescent="0.2">
      <c r="A24" s="6" t="s">
        <v>125</v>
      </c>
      <c r="B24" s="23">
        <f>+B21</f>
        <v>0</v>
      </c>
      <c r="C24" s="33" t="s">
        <v>122</v>
      </c>
      <c r="D24" s="6">
        <f>B24*[2]PREÇOS!C11</f>
        <v>0</v>
      </c>
      <c r="E24" s="6" t="s">
        <v>39</v>
      </c>
      <c r="F24" s="25"/>
      <c r="G24" s="6"/>
    </row>
    <row r="25" spans="1:7" x14ac:dyDescent="0.2">
      <c r="A25" s="6" t="s">
        <v>126</v>
      </c>
      <c r="B25" s="23">
        <v>0</v>
      </c>
      <c r="C25" s="33" t="s">
        <v>122</v>
      </c>
      <c r="D25" s="6">
        <f>B25*[2]PREÇOS!C13</f>
        <v>0</v>
      </c>
      <c r="E25" s="6" t="s">
        <v>39</v>
      </c>
      <c r="F25" s="25"/>
      <c r="G25" s="6"/>
    </row>
    <row r="26" spans="1:7" x14ac:dyDescent="0.2">
      <c r="A26" s="6" t="s">
        <v>127</v>
      </c>
      <c r="B26" s="23">
        <v>0</v>
      </c>
      <c r="C26" s="33" t="s">
        <v>122</v>
      </c>
      <c r="D26" s="6">
        <f>B26*[2]PREÇOS!C14</f>
        <v>0</v>
      </c>
      <c r="E26" s="6" t="s">
        <v>39</v>
      </c>
      <c r="F26" s="25"/>
      <c r="G26" s="6"/>
    </row>
    <row r="27" spans="1:7" x14ac:dyDescent="0.2">
      <c r="A27" s="6" t="s">
        <v>107</v>
      </c>
      <c r="B27" s="23">
        <v>0</v>
      </c>
      <c r="C27" s="33" t="s">
        <v>122</v>
      </c>
      <c r="D27" s="6">
        <f>B27*[2]PREÇOS!C16</f>
        <v>0</v>
      </c>
      <c r="E27" s="6" t="s">
        <v>39</v>
      </c>
      <c r="F27" s="25"/>
      <c r="G27" s="6"/>
    </row>
    <row r="28" spans="1:7" x14ac:dyDescent="0.2">
      <c r="A28" s="6" t="s">
        <v>129</v>
      </c>
      <c r="B28" s="23">
        <v>0</v>
      </c>
      <c r="C28" s="33" t="s">
        <v>122</v>
      </c>
      <c r="D28" s="6">
        <f>B28*[2]PREÇOS!C21</f>
        <v>0</v>
      </c>
      <c r="E28" s="6" t="s">
        <v>39</v>
      </c>
      <c r="F28" s="25"/>
      <c r="G28" s="6"/>
    </row>
    <row r="29" spans="1:7" x14ac:dyDescent="0.2">
      <c r="A29" s="6" t="s">
        <v>128</v>
      </c>
      <c r="B29" s="23">
        <v>0</v>
      </c>
      <c r="C29" s="33" t="s">
        <v>122</v>
      </c>
      <c r="D29" s="6">
        <f>B29*[2]PREÇOS!C20</f>
        <v>0</v>
      </c>
      <c r="E29" s="6" t="s">
        <v>39</v>
      </c>
      <c r="F29" s="25"/>
      <c r="G29" s="6"/>
    </row>
    <row r="30" spans="1:7" x14ac:dyDescent="0.2">
      <c r="A30" s="6" t="s">
        <v>202</v>
      </c>
      <c r="B30" s="23">
        <v>0</v>
      </c>
      <c r="C30" s="33" t="s">
        <v>122</v>
      </c>
      <c r="D30" s="6">
        <f>B30*[2]PREÇOS!C22</f>
        <v>0</v>
      </c>
      <c r="E30" s="6" t="str">
        <f>+E29</f>
        <v>R$</v>
      </c>
      <c r="F30" s="25"/>
      <c r="G30" s="6"/>
    </row>
    <row r="31" spans="1:7" x14ac:dyDescent="0.2">
      <c r="A31" s="6" t="s">
        <v>133</v>
      </c>
      <c r="B31" s="23">
        <v>0</v>
      </c>
      <c r="C31" s="33" t="s">
        <v>122</v>
      </c>
      <c r="D31" s="6">
        <f>B31*[2]PREÇOS!C17</f>
        <v>0</v>
      </c>
      <c r="E31" s="6" t="s">
        <v>39</v>
      </c>
      <c r="F31" s="25"/>
      <c r="G31" s="6"/>
    </row>
    <row r="32" spans="1:7" x14ac:dyDescent="0.2">
      <c r="A32" s="6" t="s">
        <v>134</v>
      </c>
      <c r="B32" s="25">
        <v>0</v>
      </c>
      <c r="C32" s="17" t="s">
        <v>132</v>
      </c>
      <c r="D32" s="6">
        <f>B32*[2]PREÇOS!C24</f>
        <v>0</v>
      </c>
      <c r="E32" s="6" t="s">
        <v>39</v>
      </c>
      <c r="F32" s="25"/>
      <c r="G32" s="6"/>
    </row>
    <row r="33" spans="1:7" x14ac:dyDescent="0.2">
      <c r="A33" s="6" t="s">
        <v>69</v>
      </c>
      <c r="B33" s="6"/>
      <c r="C33" s="6"/>
      <c r="D33" s="6">
        <f>SUM(D21:D32)</f>
        <v>0</v>
      </c>
      <c r="E33" s="6" t="s">
        <v>39</v>
      </c>
      <c r="F33" s="25"/>
      <c r="G33" s="6"/>
    </row>
    <row r="34" spans="1:7" x14ac:dyDescent="0.2">
      <c r="A34" s="6" t="s">
        <v>70</v>
      </c>
      <c r="B34" s="6"/>
      <c r="C34" s="6"/>
      <c r="D34" s="6">
        <v>12</v>
      </c>
      <c r="E34" s="6" t="s">
        <v>59</v>
      </c>
      <c r="F34" s="25"/>
      <c r="G34" s="6"/>
    </row>
    <row r="35" spans="1:7" x14ac:dyDescent="0.2">
      <c r="A35" s="6" t="s">
        <v>60</v>
      </c>
      <c r="B35" s="6"/>
      <c r="C35" s="6"/>
      <c r="D35" s="6">
        <f>+D33/+D34</f>
        <v>0</v>
      </c>
      <c r="E35" s="6" t="s">
        <v>71</v>
      </c>
      <c r="F35" s="6"/>
      <c r="G35" s="6"/>
    </row>
    <row r="36" spans="1:7" x14ac:dyDescent="0.2">
      <c r="A36" s="6" t="s">
        <v>72</v>
      </c>
      <c r="B36" s="6"/>
      <c r="C36" s="6"/>
      <c r="D36" s="26">
        <v>2.5000000000000001E-2</v>
      </c>
      <c r="E36" s="6"/>
      <c r="F36" s="6"/>
      <c r="G36" s="6"/>
    </row>
    <row r="37" spans="1:7" x14ac:dyDescent="0.2">
      <c r="A37" s="6" t="s">
        <v>61</v>
      </c>
      <c r="B37" s="6"/>
      <c r="C37" s="6"/>
      <c r="D37" s="6">
        <f>D36*D35</f>
        <v>0</v>
      </c>
      <c r="E37" s="6" t="s">
        <v>71</v>
      </c>
      <c r="F37" s="6"/>
      <c r="G37" s="6"/>
    </row>
    <row r="38" spans="1:7" x14ac:dyDescent="0.2">
      <c r="A38" s="18"/>
      <c r="B38" s="18"/>
      <c r="C38" s="18"/>
      <c r="D38" s="6"/>
      <c r="E38" s="6"/>
      <c r="F38" s="6"/>
      <c r="G38" s="6"/>
    </row>
    <row r="39" spans="1:7" x14ac:dyDescent="0.2">
      <c r="A39" s="28" t="s">
        <v>223</v>
      </c>
      <c r="B39" s="28"/>
      <c r="C39" s="28"/>
      <c r="D39" s="6">
        <f>+D45+D46</f>
        <v>15459.415000000001</v>
      </c>
      <c r="E39" s="6"/>
      <c r="F39" s="6"/>
      <c r="G39" s="6"/>
    </row>
    <row r="40" spans="1:7" x14ac:dyDescent="0.2">
      <c r="A40" s="6"/>
      <c r="B40" s="6"/>
      <c r="C40" s="6"/>
      <c r="D40" s="6"/>
      <c r="E40" s="6"/>
      <c r="F40" s="6"/>
      <c r="G40" s="6"/>
    </row>
    <row r="41" spans="1:7" x14ac:dyDescent="0.2">
      <c r="A41" s="6" t="s">
        <v>224</v>
      </c>
      <c r="B41" s="6">
        <v>2</v>
      </c>
      <c r="C41" s="6" t="s">
        <v>122</v>
      </c>
      <c r="D41" s="6">
        <f>B41*[2]BASCULANTE!B61</f>
        <v>15459.415000000001</v>
      </c>
      <c r="E41" s="6" t="s">
        <v>39</v>
      </c>
      <c r="F41" s="6"/>
      <c r="G41" s="6"/>
    </row>
    <row r="42" spans="1:7" x14ac:dyDescent="0.2">
      <c r="A42" s="6" t="s">
        <v>225</v>
      </c>
      <c r="B42" s="6">
        <v>0</v>
      </c>
      <c r="C42" s="6" t="s">
        <v>122</v>
      </c>
      <c r="D42" s="6">
        <v>0</v>
      </c>
      <c r="E42" s="6" t="s">
        <v>36</v>
      </c>
      <c r="F42" s="6"/>
      <c r="G42" s="6"/>
    </row>
    <row r="43" spans="1:7" x14ac:dyDescent="0.2">
      <c r="A43" s="18" t="s">
        <v>226</v>
      </c>
      <c r="B43" s="77">
        <v>0</v>
      </c>
      <c r="C43" s="18" t="s">
        <v>122</v>
      </c>
      <c r="D43" s="6">
        <f>B43*[2]BAÚ!B61</f>
        <v>0</v>
      </c>
      <c r="E43" s="6" t="s">
        <v>39</v>
      </c>
      <c r="F43" s="6"/>
      <c r="G43" s="6"/>
    </row>
    <row r="44" spans="1:7" x14ac:dyDescent="0.2">
      <c r="A44" s="19" t="s">
        <v>227</v>
      </c>
      <c r="B44" s="78">
        <v>0</v>
      </c>
      <c r="C44" s="19" t="s">
        <v>122</v>
      </c>
      <c r="D44" s="6">
        <v>0</v>
      </c>
      <c r="E44" s="6" t="s">
        <v>44</v>
      </c>
      <c r="F44" s="6" t="s">
        <v>8</v>
      </c>
      <c r="G44" s="6"/>
    </row>
    <row r="45" spans="1:7" x14ac:dyDescent="0.2">
      <c r="A45" s="6" t="s">
        <v>228</v>
      </c>
      <c r="B45" s="6"/>
      <c r="C45" s="6"/>
      <c r="D45" s="6">
        <f>SUM(D41:D44)</f>
        <v>15459.415000000001</v>
      </c>
      <c r="E45" s="6" t="s">
        <v>45</v>
      </c>
      <c r="F45" s="6"/>
      <c r="G45" s="6"/>
    </row>
    <row r="46" spans="1:7" x14ac:dyDescent="0.2">
      <c r="A46" s="6"/>
      <c r="B46" s="25"/>
      <c r="C46" s="17"/>
      <c r="D46" s="6"/>
      <c r="E46" s="6"/>
      <c r="F46" s="6"/>
      <c r="G46" s="6"/>
    </row>
    <row r="47" spans="1:7" x14ac:dyDescent="0.2">
      <c r="A47" s="18"/>
      <c r="B47" s="18"/>
      <c r="C47" s="18"/>
      <c r="D47" s="6"/>
      <c r="E47" s="6"/>
      <c r="F47" s="6"/>
      <c r="G47" s="6"/>
    </row>
    <row r="48" spans="1:7" x14ac:dyDescent="0.2">
      <c r="A48" s="16" t="s">
        <v>63</v>
      </c>
      <c r="B48" s="16"/>
      <c r="C48" s="16"/>
      <c r="D48" s="6"/>
      <c r="E48" s="6"/>
      <c r="F48" s="6"/>
      <c r="G48" s="6"/>
    </row>
    <row r="49" spans="1:7" x14ac:dyDescent="0.2">
      <c r="A49" s="6" t="s">
        <v>68</v>
      </c>
      <c r="B49" s="6"/>
      <c r="C49" s="6"/>
      <c r="D49" s="6">
        <f>D7</f>
        <v>5739.82</v>
      </c>
      <c r="E49" s="6" t="s">
        <v>39</v>
      </c>
      <c r="F49" s="6"/>
      <c r="G49" s="6"/>
    </row>
    <row r="50" spans="1:7" x14ac:dyDescent="0.2">
      <c r="A50" s="6" t="s">
        <v>62</v>
      </c>
      <c r="B50" s="6"/>
      <c r="C50" s="6"/>
      <c r="D50" s="6">
        <f>D39</f>
        <v>15459.415000000001</v>
      </c>
      <c r="E50" s="6" t="s">
        <v>39</v>
      </c>
      <c r="F50" s="6"/>
      <c r="G50" s="6"/>
    </row>
    <row r="51" spans="1:7" x14ac:dyDescent="0.2">
      <c r="A51" s="6" t="s">
        <v>64</v>
      </c>
      <c r="B51" s="6"/>
      <c r="C51" s="6"/>
      <c r="D51" s="6">
        <f>D19</f>
        <v>0</v>
      </c>
      <c r="E51" s="6" t="s">
        <v>39</v>
      </c>
      <c r="F51" s="6"/>
      <c r="G51" s="6"/>
    </row>
    <row r="52" spans="1:7" x14ac:dyDescent="0.2">
      <c r="A52" s="6" t="s">
        <v>46</v>
      </c>
      <c r="B52" s="6"/>
      <c r="C52" s="6"/>
      <c r="D52" s="6">
        <f>SUM(D49:D51)</f>
        <v>21199.235000000001</v>
      </c>
      <c r="E52" s="6" t="s">
        <v>39</v>
      </c>
      <c r="F52" s="6"/>
      <c r="G52" s="6"/>
    </row>
    <row r="53" spans="1:7" x14ac:dyDescent="0.2">
      <c r="A53" s="6"/>
      <c r="B53" s="6"/>
      <c r="C53" s="6"/>
      <c r="D53" s="6" t="s">
        <v>8</v>
      </c>
      <c r="E53" s="6"/>
      <c r="F53" s="6"/>
      <c r="G53" s="6"/>
    </row>
    <row r="54" spans="1:7" x14ac:dyDescent="0.2">
      <c r="A54" s="16" t="s">
        <v>65</v>
      </c>
      <c r="B54" s="16"/>
      <c r="C54" s="16"/>
      <c r="D54" s="6" t="s">
        <v>8</v>
      </c>
      <c r="E54" s="6"/>
      <c r="F54" s="6"/>
      <c r="G54" s="6"/>
    </row>
    <row r="55" spans="1:7" x14ac:dyDescent="0.2">
      <c r="A55" s="6"/>
      <c r="B55" s="6"/>
      <c r="C55" s="6"/>
      <c r="D55" s="6" t="s">
        <v>8</v>
      </c>
      <c r="E55" s="6"/>
      <c r="F55" s="6"/>
      <c r="G55" s="6"/>
    </row>
    <row r="56" spans="1:7" x14ac:dyDescent="0.2">
      <c r="A56" s="19" t="s">
        <v>47</v>
      </c>
      <c r="B56" s="19"/>
      <c r="C56" s="19"/>
      <c r="D56" s="9">
        <v>0</v>
      </c>
      <c r="E56" s="6" t="s">
        <v>8</v>
      </c>
      <c r="F56" s="27">
        <f>D56*[2]ADM!$B$37</f>
        <v>0</v>
      </c>
      <c r="G56" s="6"/>
    </row>
    <row r="57" spans="1:7" x14ac:dyDescent="0.2">
      <c r="A57" s="6"/>
      <c r="B57" s="6"/>
      <c r="C57" s="6"/>
      <c r="D57" s="6"/>
      <c r="E57" s="6"/>
      <c r="F57" s="27"/>
      <c r="G57" s="6"/>
    </row>
    <row r="58" spans="1:7" x14ac:dyDescent="0.2">
      <c r="A58" s="16" t="s">
        <v>205</v>
      </c>
      <c r="B58" s="6"/>
      <c r="C58" s="6"/>
      <c r="D58" s="6"/>
      <c r="E58" s="6"/>
      <c r="F58" s="27"/>
      <c r="G58" s="6"/>
    </row>
    <row r="59" spans="1:7" x14ac:dyDescent="0.2">
      <c r="A59" s="6" t="s">
        <v>48</v>
      </c>
      <c r="B59" s="6"/>
      <c r="C59" s="6"/>
      <c r="D59" s="29">
        <v>0.15</v>
      </c>
      <c r="E59" s="6" t="s">
        <v>8</v>
      </c>
      <c r="F59" s="27">
        <f>+(D52+F56)*D59</f>
        <v>3179.8852499999998</v>
      </c>
      <c r="G59" s="6"/>
    </row>
    <row r="60" spans="1:7" x14ac:dyDescent="0.2">
      <c r="A60" s="6"/>
      <c r="B60" s="6"/>
      <c r="C60" s="6"/>
      <c r="D60" s="6"/>
      <c r="E60" s="6"/>
      <c r="F60" s="27"/>
      <c r="G60" s="6"/>
    </row>
    <row r="61" spans="1:7" x14ac:dyDescent="0.2">
      <c r="A61" s="16" t="s">
        <v>66</v>
      </c>
      <c r="B61" s="16"/>
      <c r="C61" s="16"/>
      <c r="D61" s="6"/>
      <c r="E61" s="6"/>
      <c r="F61" s="27">
        <f>+F59+F56+D52</f>
        <v>24379.12025</v>
      </c>
      <c r="G61" s="6"/>
    </row>
    <row r="62" spans="1:7" x14ac:dyDescent="0.2">
      <c r="A62" s="6"/>
      <c r="B62" s="6"/>
      <c r="C62" s="6"/>
      <c r="D62" s="6"/>
      <c r="E62" s="6"/>
      <c r="F62" s="27"/>
      <c r="G62" s="6"/>
    </row>
    <row r="63" spans="1:7" x14ac:dyDescent="0.2">
      <c r="A63" s="20" t="s">
        <v>204</v>
      </c>
      <c r="B63" s="6"/>
      <c r="C63" s="6"/>
      <c r="D63" s="6"/>
      <c r="E63" s="6"/>
      <c r="F63" s="27"/>
      <c r="G63" s="6"/>
    </row>
    <row r="64" spans="1:7" x14ac:dyDescent="0.2">
      <c r="A64" s="6" t="s">
        <v>48</v>
      </c>
      <c r="B64" s="6"/>
      <c r="C64" s="6"/>
      <c r="D64" s="9">
        <v>0.14249999999999999</v>
      </c>
      <c r="E64" s="79" t="s">
        <v>8</v>
      </c>
      <c r="F64" s="6">
        <f>+F61/0.8575</f>
        <v>28430.460932944607</v>
      </c>
      <c r="G64" s="6"/>
    </row>
    <row r="65" spans="1:7" x14ac:dyDescent="0.2">
      <c r="D65" s="79"/>
      <c r="E65" s="79"/>
      <c r="F65" s="79"/>
      <c r="G65" s="6"/>
    </row>
    <row r="66" spans="1:7" x14ac:dyDescent="0.2">
      <c r="A66" s="32" t="s">
        <v>67</v>
      </c>
      <c r="B66" s="32"/>
      <c r="C66" s="32"/>
      <c r="D66" s="80"/>
      <c r="E66" s="80"/>
      <c r="F66" s="79"/>
      <c r="G66" s="6"/>
    </row>
    <row r="67" spans="1:7" x14ac:dyDescent="0.2">
      <c r="A67" s="2"/>
      <c r="B67" s="2"/>
      <c r="C67" s="2"/>
      <c r="D67" s="80"/>
      <c r="E67" s="80"/>
      <c r="F67" s="79"/>
      <c r="G67" s="6" t="s">
        <v>8</v>
      </c>
    </row>
    <row r="68" spans="1:7" x14ac:dyDescent="0.2">
      <c r="A68" s="74" t="s">
        <v>49</v>
      </c>
      <c r="B68" s="74"/>
      <c r="C68" s="74"/>
      <c r="D68" s="2">
        <f>F64</f>
        <v>28430.460932944607</v>
      </c>
      <c r="E68" s="2" t="s">
        <v>39</v>
      </c>
      <c r="F68" s="6"/>
      <c r="G68" s="6"/>
    </row>
    <row r="69" spans="1:7" x14ac:dyDescent="0.2">
      <c r="A69" s="2" t="s">
        <v>50</v>
      </c>
      <c r="B69" s="2"/>
      <c r="C69" s="2"/>
      <c r="D69" s="2">
        <v>52</v>
      </c>
      <c r="E69" s="2" t="s">
        <v>229</v>
      </c>
      <c r="F69" s="6"/>
      <c r="G69" s="6"/>
    </row>
    <row r="70" spans="1:7" x14ac:dyDescent="0.2">
      <c r="A70" s="2" t="s">
        <v>51</v>
      </c>
      <c r="B70" s="2"/>
      <c r="C70" s="2"/>
      <c r="D70" s="2">
        <f>ROUND(D68/D69,2)</f>
        <v>546.74</v>
      </c>
      <c r="E70" s="2" t="s">
        <v>230</v>
      </c>
      <c r="F70" s="1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G72" s="6"/>
    </row>
    <row r="73" spans="1:7" x14ac:dyDescent="0.2">
      <c r="G73" s="6"/>
    </row>
    <row r="74" spans="1:7" x14ac:dyDescent="0.2">
      <c r="G74" s="6"/>
    </row>
  </sheetData>
  <pageMargins left="0.39370078740157483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H54"/>
  <sheetViews>
    <sheetView view="pageBreakPreview" topLeftCell="A5" zoomScaleNormal="100" zoomScaleSheetLayoutView="100" workbookViewId="0">
      <selection activeCell="B12" sqref="B12"/>
    </sheetView>
  </sheetViews>
  <sheetFormatPr defaultColWidth="12" defaultRowHeight="12.75" x14ac:dyDescent="0.2"/>
  <cols>
    <col min="1" max="1" width="60" style="124" customWidth="1"/>
    <col min="2" max="2" width="17.83203125" style="124" customWidth="1"/>
    <col min="3" max="5" width="12" style="124" customWidth="1"/>
    <col min="6" max="6" width="15" style="124" customWidth="1"/>
    <col min="7" max="7" width="15.83203125" style="124" customWidth="1"/>
    <col min="8" max="8" width="14.33203125" style="124" customWidth="1"/>
    <col min="9" max="16384" width="12" style="124"/>
  </cols>
  <sheetData>
    <row r="1" spans="1:8" ht="18.75" hidden="1" x14ac:dyDescent="0.3">
      <c r="A1" s="411" t="s">
        <v>278</v>
      </c>
      <c r="B1" s="411"/>
      <c r="C1" s="150"/>
      <c r="D1" s="150"/>
      <c r="E1" s="150"/>
      <c r="F1" s="151"/>
    </row>
    <row r="2" spans="1:8" ht="18" hidden="1" customHeight="1" x14ac:dyDescent="0.25">
      <c r="A2" s="411"/>
      <c r="B2" s="411"/>
      <c r="C2" s="150"/>
      <c r="D2" s="150"/>
      <c r="E2" s="150"/>
      <c r="F2" s="148"/>
    </row>
    <row r="3" spans="1:8" hidden="1" x14ac:dyDescent="0.2">
      <c r="A3" s="147"/>
      <c r="B3" s="147"/>
      <c r="C3" s="147"/>
      <c r="D3" s="147"/>
      <c r="E3" s="147"/>
      <c r="F3" s="147"/>
    </row>
    <row r="4" spans="1:8" hidden="1" x14ac:dyDescent="0.2">
      <c r="A4" s="149" t="s">
        <v>277</v>
      </c>
      <c r="B4" s="149" t="s">
        <v>276</v>
      </c>
      <c r="C4" s="147"/>
      <c r="E4" s="147"/>
      <c r="F4" s="147"/>
    </row>
    <row r="5" spans="1:8" x14ac:dyDescent="0.2">
      <c r="A5" s="148"/>
      <c r="B5" s="147"/>
      <c r="C5" s="147"/>
      <c r="D5" s="147"/>
      <c r="E5" s="147"/>
    </row>
    <row r="6" spans="1:8" ht="66" customHeight="1" x14ac:dyDescent="0.2">
      <c r="A6" s="412" t="s">
        <v>0</v>
      </c>
      <c r="B6" s="412"/>
      <c r="C6" s="146"/>
      <c r="D6" s="146"/>
      <c r="E6" s="146"/>
    </row>
    <row r="7" spans="1:8" x14ac:dyDescent="0.2">
      <c r="A7" s="137"/>
      <c r="B7" s="137"/>
      <c r="C7" s="137"/>
      <c r="D7" s="137"/>
    </row>
    <row r="8" spans="1:8" x14ac:dyDescent="0.2">
      <c r="A8" s="145" t="s">
        <v>460</v>
      </c>
      <c r="B8" s="138"/>
      <c r="C8" s="138"/>
      <c r="D8" s="138"/>
      <c r="E8" s="144"/>
    </row>
    <row r="9" spans="1:8" x14ac:dyDescent="0.2">
      <c r="A9" s="137"/>
      <c r="B9" s="137"/>
      <c r="C9" s="137"/>
      <c r="D9" s="137"/>
    </row>
    <row r="10" spans="1:8" x14ac:dyDescent="0.2">
      <c r="A10" s="143" t="s">
        <v>15</v>
      </c>
    </row>
    <row r="12" spans="1:8" x14ac:dyDescent="0.2">
      <c r="A12" s="133" t="s">
        <v>275</v>
      </c>
      <c r="B12" s="128">
        <v>1410</v>
      </c>
      <c r="C12" s="124" t="s">
        <v>39</v>
      </c>
      <c r="H12" s="142"/>
    </row>
    <row r="13" spans="1:8" x14ac:dyDescent="0.2">
      <c r="A13" s="133" t="s">
        <v>16</v>
      </c>
      <c r="B13" s="128">
        <v>12</v>
      </c>
      <c r="C13" s="124" t="s">
        <v>59</v>
      </c>
      <c r="H13" s="142"/>
    </row>
    <row r="14" spans="1:8" x14ac:dyDescent="0.2">
      <c r="A14" s="133" t="s">
        <v>17</v>
      </c>
      <c r="B14" s="135">
        <v>0.1</v>
      </c>
      <c r="H14" s="142"/>
    </row>
    <row r="15" spans="1:8" x14ac:dyDescent="0.2">
      <c r="A15" s="133" t="s">
        <v>274</v>
      </c>
      <c r="B15" s="141">
        <f>B12*B14</f>
        <v>141</v>
      </c>
    </row>
    <row r="16" spans="1:8" x14ac:dyDescent="0.2">
      <c r="A16" s="124" t="s">
        <v>273</v>
      </c>
      <c r="B16" s="128">
        <f>((+B12)-(B15))/B13</f>
        <v>105.75</v>
      </c>
      <c r="C16" s="124" t="s">
        <v>263</v>
      </c>
    </row>
    <row r="18" spans="1:4" x14ac:dyDescent="0.2">
      <c r="A18" s="136" t="s">
        <v>19</v>
      </c>
    </row>
    <row r="20" spans="1:4" x14ac:dyDescent="0.2">
      <c r="A20" s="139" t="s">
        <v>20</v>
      </c>
      <c r="B20" s="137">
        <f>+B12</f>
        <v>1410</v>
      </c>
      <c r="C20" s="137" t="s">
        <v>39</v>
      </c>
      <c r="D20" s="137"/>
    </row>
    <row r="21" spans="1:4" x14ac:dyDescent="0.2">
      <c r="A21" s="139" t="s">
        <v>21</v>
      </c>
      <c r="B21" s="140">
        <v>5.0000000000000001E-3</v>
      </c>
      <c r="C21" s="137"/>
      <c r="D21" s="137"/>
    </row>
    <row r="22" spans="1:4" x14ac:dyDescent="0.2">
      <c r="A22" s="139" t="s">
        <v>22</v>
      </c>
      <c r="B22" s="137">
        <f>+B20*B21</f>
        <v>7.05</v>
      </c>
      <c r="C22" s="137" t="s">
        <v>263</v>
      </c>
      <c r="D22" s="137"/>
    </row>
    <row r="23" spans="1:4" x14ac:dyDescent="0.2">
      <c r="A23" s="137" t="s">
        <v>8</v>
      </c>
      <c r="B23" s="137" t="s">
        <v>8</v>
      </c>
      <c r="C23" s="137" t="s">
        <v>8</v>
      </c>
      <c r="D23" s="137"/>
    </row>
    <row r="24" spans="1:4" x14ac:dyDescent="0.2">
      <c r="A24" s="138" t="s">
        <v>23</v>
      </c>
      <c r="B24" s="137" t="s">
        <v>8</v>
      </c>
      <c r="C24" s="137" t="s">
        <v>8</v>
      </c>
      <c r="D24" s="137" t="s">
        <v>8</v>
      </c>
    </row>
    <row r="26" spans="1:4" x14ac:dyDescent="0.2">
      <c r="A26" s="133" t="s">
        <v>272</v>
      </c>
      <c r="B26" s="128"/>
      <c r="C26" s="124" t="s">
        <v>271</v>
      </c>
    </row>
    <row r="27" spans="1:4" x14ac:dyDescent="0.2">
      <c r="A27" s="133" t="s">
        <v>270</v>
      </c>
      <c r="B27" s="128">
        <f>(180*26)/2</f>
        <v>2340</v>
      </c>
      <c r="C27" s="124" t="s">
        <v>267</v>
      </c>
    </row>
    <row r="28" spans="1:4" x14ac:dyDescent="0.2">
      <c r="A28" s="133" t="s">
        <v>25</v>
      </c>
      <c r="B28" s="128">
        <v>1.5</v>
      </c>
      <c r="C28" s="124" t="s">
        <v>269</v>
      </c>
    </row>
    <row r="29" spans="1:4" x14ac:dyDescent="0.2">
      <c r="A29" s="129" t="s">
        <v>26</v>
      </c>
      <c r="B29" s="128">
        <f>+(B27/B28)*B26</f>
        <v>0</v>
      </c>
      <c r="C29" s="124" t="s">
        <v>263</v>
      </c>
    </row>
    <row r="30" spans="1:4" x14ac:dyDescent="0.2">
      <c r="A30" s="133"/>
      <c r="B30" s="128"/>
    </row>
    <row r="31" spans="1:4" x14ac:dyDescent="0.2">
      <c r="A31" s="138" t="s">
        <v>27</v>
      </c>
      <c r="B31" s="137" t="s">
        <v>8</v>
      </c>
    </row>
    <row r="33" spans="1:3" x14ac:dyDescent="0.2">
      <c r="A33" s="133" t="s">
        <v>268</v>
      </c>
      <c r="B33" s="128"/>
      <c r="C33" s="124" t="s">
        <v>39</v>
      </c>
    </row>
    <row r="34" spans="1:3" x14ac:dyDescent="0.2">
      <c r="A34" s="133" t="s">
        <v>28</v>
      </c>
      <c r="B34" s="128">
        <v>45000</v>
      </c>
      <c r="C34" s="124" t="s">
        <v>267</v>
      </c>
    </row>
    <row r="35" spans="1:3" x14ac:dyDescent="0.2">
      <c r="A35" s="133" t="s">
        <v>266</v>
      </c>
      <c r="B35" s="128">
        <f>B27</f>
        <v>2340</v>
      </c>
      <c r="C35" s="124" t="s">
        <v>265</v>
      </c>
    </row>
    <row r="36" spans="1:3" x14ac:dyDescent="0.2">
      <c r="A36" s="133" t="s">
        <v>264</v>
      </c>
      <c r="B36" s="128">
        <f>+(B33*B35)/B34</f>
        <v>0</v>
      </c>
      <c r="C36" s="124" t="s">
        <v>263</v>
      </c>
    </row>
    <row r="37" spans="1:3" x14ac:dyDescent="0.2">
      <c r="A37" s="133"/>
      <c r="B37" s="128"/>
    </row>
    <row r="38" spans="1:3" x14ac:dyDescent="0.2">
      <c r="A38" s="136" t="s">
        <v>30</v>
      </c>
    </row>
    <row r="39" spans="1:3" x14ac:dyDescent="0.2">
      <c r="A39" s="133" t="s">
        <v>7</v>
      </c>
    </row>
    <row r="40" spans="1:3" x14ac:dyDescent="0.2">
      <c r="A40" s="133" t="s">
        <v>31</v>
      </c>
      <c r="B40" s="135">
        <v>0.3</v>
      </c>
    </row>
    <row r="41" spans="1:3" x14ac:dyDescent="0.2">
      <c r="A41" s="133" t="s">
        <v>32</v>
      </c>
      <c r="B41" s="134">
        <f>B12</f>
        <v>1410</v>
      </c>
      <c r="C41" s="124" t="s">
        <v>39</v>
      </c>
    </row>
    <row r="42" spans="1:3" x14ac:dyDescent="0.2">
      <c r="A42" s="133" t="s">
        <v>33</v>
      </c>
      <c r="B42" s="128">
        <f>B13</f>
        <v>12</v>
      </c>
      <c r="C42" s="124" t="s">
        <v>59</v>
      </c>
    </row>
    <row r="43" spans="1:3" x14ac:dyDescent="0.2">
      <c r="A43" s="133" t="s">
        <v>34</v>
      </c>
      <c r="B43" s="128">
        <f>+(B40*B41)/B42</f>
        <v>35.25</v>
      </c>
      <c r="C43" s="124" t="s">
        <v>263</v>
      </c>
    </row>
    <row r="45" spans="1:3" x14ac:dyDescent="0.2">
      <c r="A45" s="127" t="s">
        <v>307</v>
      </c>
      <c r="B45" s="126">
        <f>B43+B36+B29+B22+B16</f>
        <v>148.05000000000001</v>
      </c>
      <c r="C45" s="125" t="s">
        <v>263</v>
      </c>
    </row>
    <row r="46" spans="1:3" x14ac:dyDescent="0.2">
      <c r="A46" s="133"/>
      <c r="B46" s="128"/>
    </row>
    <row r="47" spans="1:3" x14ac:dyDescent="0.2">
      <c r="A47" s="179" t="s">
        <v>308</v>
      </c>
      <c r="B47" s="180">
        <f>+B45*0.15</f>
        <v>22.2075</v>
      </c>
      <c r="C47" s="181" t="str">
        <f>+C45</f>
        <v>R$/mês</v>
      </c>
    </row>
    <row r="48" spans="1:3" x14ac:dyDescent="0.2">
      <c r="A48" s="129"/>
      <c r="B48" s="128"/>
    </row>
    <row r="49" spans="1:3" x14ac:dyDescent="0.2">
      <c r="A49" s="182" t="s">
        <v>310</v>
      </c>
      <c r="B49" s="180">
        <f>+B45+B47</f>
        <v>170.25750000000002</v>
      </c>
      <c r="C49" s="181" t="str">
        <f>+C45</f>
        <v>R$/mês</v>
      </c>
    </row>
    <row r="50" spans="1:3" x14ac:dyDescent="0.2">
      <c r="B50" s="128"/>
    </row>
    <row r="51" spans="1:3" x14ac:dyDescent="0.2">
      <c r="A51" s="179" t="s">
        <v>309</v>
      </c>
      <c r="B51" s="183">
        <f>+B49/0.8575</f>
        <v>198.55102040816328</v>
      </c>
      <c r="C51" s="181" t="str">
        <f>+C53</f>
        <v>R$/mês</v>
      </c>
    </row>
    <row r="53" spans="1:3" x14ac:dyDescent="0.2">
      <c r="A53" s="127" t="s">
        <v>311</v>
      </c>
      <c r="B53" s="184">
        <f>TRUNC(+B51,4)</f>
        <v>198.55099999999999</v>
      </c>
      <c r="C53" s="125" t="s">
        <v>263</v>
      </c>
    </row>
    <row r="54" spans="1:3" x14ac:dyDescent="0.2">
      <c r="B54" s="181"/>
    </row>
  </sheetData>
  <mergeCells count="3">
    <mergeCell ref="A1:B1"/>
    <mergeCell ref="A2:B2"/>
    <mergeCell ref="A6:B6"/>
  </mergeCells>
  <pageMargins left="1.8897637795275593" right="0.51181102362204722" top="0.78740157480314965" bottom="0.78740157480314965" header="0.31496062992125984" footer="0.31496062992125984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H51"/>
  <sheetViews>
    <sheetView view="pageBreakPreview" topLeftCell="A5" zoomScaleNormal="100" zoomScaleSheetLayoutView="100" workbookViewId="0">
      <selection activeCell="B12" sqref="B12"/>
    </sheetView>
  </sheetViews>
  <sheetFormatPr defaultColWidth="12" defaultRowHeight="12.75" x14ac:dyDescent="0.2"/>
  <cols>
    <col min="1" max="1" width="60" style="124" customWidth="1"/>
    <col min="2" max="2" width="17.83203125" style="124" customWidth="1"/>
    <col min="3" max="5" width="12" style="124" customWidth="1"/>
    <col min="6" max="6" width="15" style="124" customWidth="1"/>
    <col min="7" max="7" width="15.83203125" style="124" customWidth="1"/>
    <col min="8" max="8" width="14.33203125" style="124" customWidth="1"/>
    <col min="9" max="16384" width="12" style="124"/>
  </cols>
  <sheetData>
    <row r="1" spans="1:8" ht="18.75" hidden="1" x14ac:dyDescent="0.3">
      <c r="A1" s="411" t="s">
        <v>278</v>
      </c>
      <c r="B1" s="411"/>
      <c r="C1" s="173"/>
      <c r="D1" s="173"/>
      <c r="E1" s="173"/>
      <c r="F1" s="151"/>
    </row>
    <row r="2" spans="1:8" ht="18" hidden="1" customHeight="1" x14ac:dyDescent="0.25">
      <c r="A2" s="411"/>
      <c r="B2" s="411"/>
      <c r="C2" s="173"/>
      <c r="D2" s="173"/>
      <c r="E2" s="173"/>
      <c r="F2" s="148"/>
    </row>
    <row r="3" spans="1:8" hidden="1" x14ac:dyDescent="0.2">
      <c r="A3" s="147"/>
      <c r="B3" s="147"/>
      <c r="C3" s="147"/>
      <c r="D3" s="147"/>
      <c r="E3" s="147"/>
      <c r="F3" s="147"/>
    </row>
    <row r="4" spans="1:8" hidden="1" x14ac:dyDescent="0.2">
      <c r="A4" s="149" t="s">
        <v>277</v>
      </c>
      <c r="B4" s="149" t="s">
        <v>276</v>
      </c>
      <c r="C4" s="147"/>
      <c r="E4" s="147"/>
      <c r="F4" s="147"/>
    </row>
    <row r="5" spans="1:8" x14ac:dyDescent="0.2">
      <c r="A5" s="148"/>
      <c r="B5" s="147"/>
      <c r="C5" s="147"/>
      <c r="D5" s="147"/>
      <c r="E5" s="147"/>
    </row>
    <row r="6" spans="1:8" ht="66" customHeight="1" x14ac:dyDescent="0.2">
      <c r="A6" s="412" t="s">
        <v>0</v>
      </c>
      <c r="B6" s="412"/>
      <c r="C6" s="174"/>
      <c r="D6" s="174"/>
      <c r="E6" s="174"/>
    </row>
    <row r="7" spans="1:8" x14ac:dyDescent="0.2">
      <c r="A7" s="137"/>
      <c r="B7" s="137"/>
      <c r="C7" s="137"/>
      <c r="D7" s="137"/>
    </row>
    <row r="8" spans="1:8" x14ac:dyDescent="0.2">
      <c r="A8" s="145" t="s">
        <v>303</v>
      </c>
      <c r="B8" s="138"/>
      <c r="C8" s="138"/>
      <c r="D8" s="138"/>
      <c r="E8" s="144"/>
    </row>
    <row r="9" spans="1:8" x14ac:dyDescent="0.2">
      <c r="A9" s="137"/>
      <c r="B9" s="137"/>
      <c r="C9" s="137"/>
      <c r="D9" s="137"/>
    </row>
    <row r="10" spans="1:8" x14ac:dyDescent="0.2">
      <c r="A10" s="143" t="s">
        <v>15</v>
      </c>
    </row>
    <row r="12" spans="1:8" x14ac:dyDescent="0.2">
      <c r="A12" s="133" t="s">
        <v>275</v>
      </c>
      <c r="B12" s="128">
        <v>17610</v>
      </c>
      <c r="C12" s="124" t="s">
        <v>39</v>
      </c>
      <c r="H12" s="142"/>
    </row>
    <row r="13" spans="1:8" x14ac:dyDescent="0.2">
      <c r="A13" s="133" t="s">
        <v>16</v>
      </c>
      <c r="B13" s="128">
        <v>12</v>
      </c>
      <c r="C13" s="124" t="s">
        <v>59</v>
      </c>
      <c r="H13" s="142"/>
    </row>
    <row r="14" spans="1:8" x14ac:dyDescent="0.2">
      <c r="A14" s="133" t="s">
        <v>17</v>
      </c>
      <c r="B14" s="135">
        <v>0.1</v>
      </c>
      <c r="H14" s="142"/>
    </row>
    <row r="15" spans="1:8" x14ac:dyDescent="0.2">
      <c r="A15" s="133" t="s">
        <v>274</v>
      </c>
      <c r="B15" s="141">
        <f>B12*B14</f>
        <v>1761</v>
      </c>
    </row>
    <row r="16" spans="1:8" x14ac:dyDescent="0.2">
      <c r="A16" s="124" t="s">
        <v>273</v>
      </c>
      <c r="B16" s="128">
        <f>((+B12)-(B15))/B13</f>
        <v>1320.75</v>
      </c>
      <c r="C16" s="124" t="s">
        <v>263</v>
      </c>
    </row>
    <row r="18" spans="1:4" x14ac:dyDescent="0.2">
      <c r="A18" s="136" t="s">
        <v>19</v>
      </c>
    </row>
    <row r="20" spans="1:4" x14ac:dyDescent="0.2">
      <c r="A20" s="139" t="s">
        <v>20</v>
      </c>
      <c r="B20" s="137">
        <f>+B12</f>
        <v>17610</v>
      </c>
      <c r="C20" s="137" t="s">
        <v>39</v>
      </c>
      <c r="D20" s="137"/>
    </row>
    <row r="21" spans="1:4" x14ac:dyDescent="0.2">
      <c r="A21" s="139" t="s">
        <v>21</v>
      </c>
      <c r="B21" s="140">
        <v>5.0000000000000001E-3</v>
      </c>
      <c r="C21" s="137"/>
      <c r="D21" s="137"/>
    </row>
    <row r="22" spans="1:4" x14ac:dyDescent="0.2">
      <c r="A22" s="139" t="s">
        <v>22</v>
      </c>
      <c r="B22" s="137">
        <f>+B20*B21</f>
        <v>88.05</v>
      </c>
      <c r="C22" s="137" t="s">
        <v>263</v>
      </c>
      <c r="D22" s="137"/>
    </row>
    <row r="23" spans="1:4" x14ac:dyDescent="0.2">
      <c r="A23" s="137" t="s">
        <v>8</v>
      </c>
      <c r="B23" s="137" t="s">
        <v>8</v>
      </c>
      <c r="C23" s="137" t="s">
        <v>8</v>
      </c>
      <c r="D23" s="137"/>
    </row>
    <row r="24" spans="1:4" x14ac:dyDescent="0.2">
      <c r="A24" s="138" t="s">
        <v>23</v>
      </c>
      <c r="B24" s="137" t="s">
        <v>8</v>
      </c>
      <c r="C24" s="137" t="s">
        <v>8</v>
      </c>
      <c r="D24" s="137" t="s">
        <v>8</v>
      </c>
    </row>
    <row r="26" spans="1:4" x14ac:dyDescent="0.2">
      <c r="A26" s="133" t="s">
        <v>272</v>
      </c>
      <c r="B26" s="128"/>
      <c r="C26" s="124" t="s">
        <v>271</v>
      </c>
    </row>
    <row r="27" spans="1:4" x14ac:dyDescent="0.2">
      <c r="A27" s="133" t="s">
        <v>270</v>
      </c>
      <c r="B27" s="128">
        <f>(180*26)/2</f>
        <v>2340</v>
      </c>
      <c r="C27" s="124" t="s">
        <v>267</v>
      </c>
    </row>
    <row r="28" spans="1:4" x14ac:dyDescent="0.2">
      <c r="A28" s="133" t="s">
        <v>25</v>
      </c>
      <c r="B28" s="128">
        <v>1.5</v>
      </c>
      <c r="C28" s="124" t="s">
        <v>269</v>
      </c>
    </row>
    <row r="29" spans="1:4" x14ac:dyDescent="0.2">
      <c r="A29" s="129" t="s">
        <v>26</v>
      </c>
      <c r="B29" s="128">
        <f>+(B27/B28)*B26</f>
        <v>0</v>
      </c>
      <c r="C29" s="124" t="s">
        <v>263</v>
      </c>
    </row>
    <row r="30" spans="1:4" x14ac:dyDescent="0.2">
      <c r="A30" s="133"/>
      <c r="B30" s="128"/>
    </row>
    <row r="31" spans="1:4" x14ac:dyDescent="0.2">
      <c r="A31" s="136" t="s">
        <v>312</v>
      </c>
    </row>
    <row r="32" spans="1:4" x14ac:dyDescent="0.2">
      <c r="A32" s="133" t="s">
        <v>7</v>
      </c>
    </row>
    <row r="33" spans="1:3" x14ac:dyDescent="0.2">
      <c r="A33" s="133" t="s">
        <v>313</v>
      </c>
      <c r="B33" s="135">
        <v>0.3</v>
      </c>
    </row>
    <row r="34" spans="1:3" x14ac:dyDescent="0.2">
      <c r="A34" s="133" t="s">
        <v>314</v>
      </c>
      <c r="B34" s="134">
        <f>B12</f>
        <v>17610</v>
      </c>
      <c r="C34" s="124" t="s">
        <v>39</v>
      </c>
    </row>
    <row r="35" spans="1:3" x14ac:dyDescent="0.2">
      <c r="A35" s="133" t="s">
        <v>315</v>
      </c>
      <c r="B35" s="128">
        <f>B13</f>
        <v>12</v>
      </c>
      <c r="C35" s="124" t="s">
        <v>59</v>
      </c>
    </row>
    <row r="36" spans="1:3" x14ac:dyDescent="0.2">
      <c r="A36" s="133" t="s">
        <v>316</v>
      </c>
      <c r="B36" s="128">
        <f>+(B33*B34)/B35</f>
        <v>440.25</v>
      </c>
      <c r="C36" s="124" t="s">
        <v>263</v>
      </c>
    </row>
    <row r="38" spans="1:3" x14ac:dyDescent="0.2">
      <c r="A38" s="130" t="s">
        <v>317</v>
      </c>
      <c r="B38" s="128"/>
    </row>
    <row r="39" spans="1:3" x14ac:dyDescent="0.2">
      <c r="A39" s="133"/>
      <c r="B39" s="128"/>
    </row>
    <row r="40" spans="1:3" x14ac:dyDescent="0.2">
      <c r="A40" s="129" t="s">
        <v>318</v>
      </c>
      <c r="B40" s="132">
        <v>1780</v>
      </c>
      <c r="C40" s="124" t="s">
        <v>263</v>
      </c>
    </row>
    <row r="41" spans="1:3" x14ac:dyDescent="0.2">
      <c r="A41" s="129" t="s">
        <v>319</v>
      </c>
      <c r="B41" s="131">
        <f>+B40</f>
        <v>1780</v>
      </c>
      <c r="C41" s="124" t="s">
        <v>263</v>
      </c>
    </row>
    <row r="42" spans="1:3" x14ac:dyDescent="0.2">
      <c r="A42" s="129"/>
      <c r="B42" s="128"/>
    </row>
    <row r="43" spans="1:3" x14ac:dyDescent="0.2">
      <c r="A43" s="127" t="s">
        <v>307</v>
      </c>
      <c r="B43" s="126">
        <f>+B41+B36+B29+B22+B16</f>
        <v>3629.05</v>
      </c>
      <c r="C43" s="125" t="s">
        <v>263</v>
      </c>
    </row>
    <row r="44" spans="1:3" s="144" customFormat="1" x14ac:dyDescent="0.2">
      <c r="A44" s="185"/>
      <c r="B44" s="186"/>
      <c r="C44" s="187"/>
    </row>
    <row r="45" spans="1:3" s="144" customFormat="1" x14ac:dyDescent="0.2">
      <c r="A45" s="179" t="s">
        <v>308</v>
      </c>
      <c r="B45" s="180">
        <f>+B43*0.15</f>
        <v>544.35749999999996</v>
      </c>
      <c r="C45" s="181" t="str">
        <f>+C43</f>
        <v>R$/mês</v>
      </c>
    </row>
    <row r="46" spans="1:3" s="144" customFormat="1" x14ac:dyDescent="0.2">
      <c r="A46" s="129"/>
      <c r="B46" s="128"/>
      <c r="C46" s="124"/>
    </row>
    <row r="47" spans="1:3" s="144" customFormat="1" x14ac:dyDescent="0.2">
      <c r="A47" s="182" t="s">
        <v>310</v>
      </c>
      <c r="B47" s="180">
        <f>+B43+B45</f>
        <v>4173.4075000000003</v>
      </c>
      <c r="C47" s="181" t="str">
        <f>+C43</f>
        <v>R$/mês</v>
      </c>
    </row>
    <row r="48" spans="1:3" s="144" customFormat="1" x14ac:dyDescent="0.2">
      <c r="A48" s="124"/>
      <c r="B48" s="128"/>
      <c r="C48" s="124"/>
    </row>
    <row r="49" spans="1:3" s="144" customFormat="1" x14ac:dyDescent="0.2">
      <c r="A49" s="179" t="s">
        <v>309</v>
      </c>
      <c r="B49" s="183">
        <f>+B47/0.8575</f>
        <v>4866.947521865889</v>
      </c>
      <c r="C49" s="181" t="str">
        <f>+C51</f>
        <v>R$/mês</v>
      </c>
    </row>
    <row r="50" spans="1:3" s="144" customFormat="1" x14ac:dyDescent="0.2">
      <c r="A50" s="124"/>
      <c r="B50" s="124"/>
      <c r="C50" s="124"/>
    </row>
    <row r="51" spans="1:3" s="144" customFormat="1" x14ac:dyDescent="0.2">
      <c r="A51" s="127" t="s">
        <v>311</v>
      </c>
      <c r="B51" s="184">
        <f>+B49</f>
        <v>4866.947521865889</v>
      </c>
      <c r="C51" s="125" t="s">
        <v>263</v>
      </c>
    </row>
  </sheetData>
  <mergeCells count="3">
    <mergeCell ref="A1:B1"/>
    <mergeCell ref="A2:B2"/>
    <mergeCell ref="A6:B6"/>
  </mergeCells>
  <pageMargins left="1.8897637795275593" right="0.51181102362204722" top="0.78740157480314965" bottom="0.78740157480314965" header="0.31496062992125984" footer="0.31496062992125984"/>
  <pageSetup paperSize="9"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63"/>
  <sheetViews>
    <sheetView topLeftCell="A39" workbookViewId="0">
      <selection activeCell="A69" sqref="A69"/>
    </sheetView>
  </sheetViews>
  <sheetFormatPr defaultColWidth="12" defaultRowHeight="12.75" x14ac:dyDescent="0.2"/>
  <cols>
    <col min="1" max="1" width="57.33203125" style="1" customWidth="1"/>
    <col min="2" max="2" width="13.33203125" style="1" bestFit="1" customWidth="1"/>
    <col min="3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ht="18" x14ac:dyDescent="0.25">
      <c r="A2" s="11"/>
      <c r="B2" s="12"/>
      <c r="C2" s="12"/>
      <c r="D2" s="12"/>
      <c r="E2" s="12"/>
    </row>
    <row r="3" spans="1:5" x14ac:dyDescent="0.2">
      <c r="A3" s="13"/>
      <c r="B3" s="13"/>
      <c r="C3" s="13"/>
      <c r="D3" s="13"/>
      <c r="E3" s="13"/>
    </row>
    <row r="4" spans="1:5" x14ac:dyDescent="0.2">
      <c r="A4" s="12"/>
      <c r="B4" s="13"/>
      <c r="C4" s="13"/>
      <c r="D4" s="13"/>
      <c r="E4" s="13"/>
    </row>
    <row r="5" spans="1:5" ht="18" x14ac:dyDescent="0.25">
      <c r="A5" s="10" t="s">
        <v>211</v>
      </c>
      <c r="B5" s="13"/>
      <c r="C5" s="13"/>
      <c r="D5" s="13"/>
      <c r="E5" s="13"/>
    </row>
    <row r="6" spans="1:5" x14ac:dyDescent="0.2">
      <c r="A6" s="14" t="s">
        <v>0</v>
      </c>
      <c r="B6" s="14"/>
      <c r="C6" s="14"/>
      <c r="D6" s="14"/>
      <c r="E6" s="14"/>
    </row>
    <row r="7" spans="1:5" x14ac:dyDescent="0.2">
      <c r="A7" s="6"/>
      <c r="B7" s="6"/>
      <c r="C7" s="6"/>
      <c r="D7" s="6"/>
    </row>
    <row r="8" spans="1:5" x14ac:dyDescent="0.2">
      <c r="A8" s="31" t="s">
        <v>14</v>
      </c>
      <c r="B8" s="2"/>
      <c r="C8" s="2"/>
      <c r="D8" s="2"/>
    </row>
    <row r="9" spans="1:5" x14ac:dyDescent="0.2">
      <c r="A9" s="6"/>
      <c r="B9" s="6"/>
      <c r="C9" s="6"/>
      <c r="D9" s="6"/>
    </row>
    <row r="11" spans="1:5" x14ac:dyDescent="0.2">
      <c r="A11" s="1" t="s">
        <v>15</v>
      </c>
    </row>
    <row r="13" spans="1:5" x14ac:dyDescent="0.2">
      <c r="A13" s="41" t="s">
        <v>141</v>
      </c>
      <c r="B13" s="8">
        <f>215221+39000</f>
        <v>254221</v>
      </c>
    </row>
    <row r="14" spans="1:5" x14ac:dyDescent="0.2">
      <c r="A14" s="41" t="s">
        <v>16</v>
      </c>
      <c r="B14" s="8">
        <v>60</v>
      </c>
    </row>
    <row r="15" spans="1:5" x14ac:dyDescent="0.2">
      <c r="A15" s="41" t="s">
        <v>17</v>
      </c>
      <c r="B15" s="62">
        <v>0.3</v>
      </c>
    </row>
    <row r="16" spans="1:5" x14ac:dyDescent="0.2">
      <c r="A16" s="1" t="s">
        <v>18</v>
      </c>
      <c r="B16" s="8">
        <f>((+B13)-(+B13*B15))/B14</f>
        <v>2965.9116666666669</v>
      </c>
    </row>
    <row r="18" spans="1:4" x14ac:dyDescent="0.2">
      <c r="A18" s="41" t="s">
        <v>19</v>
      </c>
    </row>
    <row r="20" spans="1:4" x14ac:dyDescent="0.2">
      <c r="A20" s="19" t="s">
        <v>20</v>
      </c>
      <c r="B20" s="6">
        <f>+B13</f>
        <v>254221</v>
      </c>
      <c r="C20" s="6"/>
      <c r="D20" s="6"/>
    </row>
    <row r="21" spans="1:4" x14ac:dyDescent="0.2">
      <c r="A21" s="19" t="s">
        <v>21</v>
      </c>
      <c r="B21" s="34">
        <v>0.01</v>
      </c>
      <c r="C21" s="6"/>
      <c r="D21" s="6"/>
    </row>
    <row r="22" spans="1:4" x14ac:dyDescent="0.2">
      <c r="A22" s="19" t="s">
        <v>22</v>
      </c>
      <c r="B22" s="6">
        <f>+B20*B21</f>
        <v>2542.21</v>
      </c>
      <c r="C22" s="6"/>
      <c r="D22" s="6"/>
    </row>
    <row r="23" spans="1:4" x14ac:dyDescent="0.2">
      <c r="A23" s="6" t="s">
        <v>8</v>
      </c>
      <c r="B23" s="6" t="s">
        <v>8</v>
      </c>
      <c r="C23" s="6" t="s">
        <v>8</v>
      </c>
      <c r="D23" s="6"/>
    </row>
    <row r="24" spans="1:4" x14ac:dyDescent="0.2">
      <c r="A24" s="6" t="s">
        <v>23</v>
      </c>
      <c r="B24" s="6" t="s">
        <v>8</v>
      </c>
      <c r="C24" s="6" t="s">
        <v>8</v>
      </c>
      <c r="D24" s="6" t="s">
        <v>8</v>
      </c>
    </row>
    <row r="26" spans="1:4" x14ac:dyDescent="0.2">
      <c r="A26" s="41" t="s">
        <v>24</v>
      </c>
      <c r="B26" s="108">
        <v>4.2679999999999998</v>
      </c>
    </row>
    <row r="27" spans="1:4" x14ac:dyDescent="0.2">
      <c r="A27" s="41" t="s">
        <v>237</v>
      </c>
      <c r="B27" s="8">
        <f>70*26</f>
        <v>1820</v>
      </c>
    </row>
    <row r="28" spans="1:4" x14ac:dyDescent="0.2">
      <c r="A28" s="41" t="s">
        <v>25</v>
      </c>
      <c r="B28" s="8">
        <v>2.4</v>
      </c>
    </row>
    <row r="29" spans="1:4" x14ac:dyDescent="0.2">
      <c r="A29" s="22" t="s">
        <v>26</v>
      </c>
      <c r="B29" s="8">
        <f>+B27/B28*B26</f>
        <v>3236.5666666666666</v>
      </c>
    </row>
    <row r="30" spans="1:4" x14ac:dyDescent="0.2">
      <c r="A30" s="41"/>
      <c r="B30" s="8"/>
    </row>
    <row r="31" spans="1:4" x14ac:dyDescent="0.2">
      <c r="A31" s="6" t="s">
        <v>27</v>
      </c>
      <c r="B31" s="6" t="s">
        <v>8</v>
      </c>
    </row>
    <row r="33" spans="1:2" x14ac:dyDescent="0.2">
      <c r="A33" s="41" t="s">
        <v>98</v>
      </c>
      <c r="B33" s="8">
        <f>1150*6</f>
        <v>6900</v>
      </c>
    </row>
    <row r="34" spans="1:2" x14ac:dyDescent="0.2">
      <c r="A34" s="41" t="s">
        <v>28</v>
      </c>
      <c r="B34" s="8">
        <v>40000</v>
      </c>
    </row>
    <row r="35" spans="1:2" x14ac:dyDescent="0.2">
      <c r="A35" s="41" t="s">
        <v>238</v>
      </c>
      <c r="B35" s="8">
        <f>B27</f>
        <v>1820</v>
      </c>
    </row>
    <row r="36" spans="1:2" x14ac:dyDescent="0.2">
      <c r="A36" s="41" t="s">
        <v>29</v>
      </c>
      <c r="B36" s="8">
        <f>+B33*B35/B34</f>
        <v>313.95</v>
      </c>
    </row>
    <row r="37" spans="1:2" x14ac:dyDescent="0.2">
      <c r="A37" s="41"/>
      <c r="B37" s="8"/>
    </row>
    <row r="38" spans="1:2" x14ac:dyDescent="0.2">
      <c r="A38" s="41" t="s">
        <v>30</v>
      </c>
    </row>
    <row r="39" spans="1:2" x14ac:dyDescent="0.2">
      <c r="A39" s="41" t="s">
        <v>7</v>
      </c>
    </row>
    <row r="40" spans="1:2" x14ac:dyDescent="0.2">
      <c r="A40" s="41" t="s">
        <v>31</v>
      </c>
      <c r="B40" s="62">
        <v>0.5</v>
      </c>
    </row>
    <row r="41" spans="1:2" x14ac:dyDescent="0.2">
      <c r="A41" s="41" t="s">
        <v>32</v>
      </c>
      <c r="B41" s="35">
        <f>+B20</f>
        <v>254221</v>
      </c>
    </row>
    <row r="42" spans="1:2" x14ac:dyDescent="0.2">
      <c r="A42" s="41" t="s">
        <v>33</v>
      </c>
      <c r="B42" s="8">
        <v>60</v>
      </c>
    </row>
    <row r="43" spans="1:2" x14ac:dyDescent="0.2">
      <c r="A43" s="41" t="s">
        <v>34</v>
      </c>
      <c r="B43" s="8">
        <f>+B40*B41/B42</f>
        <v>2118.5083333333332</v>
      </c>
    </row>
    <row r="45" spans="1:2" x14ac:dyDescent="0.2">
      <c r="A45" s="22" t="s">
        <v>74</v>
      </c>
      <c r="B45" s="8"/>
    </row>
    <row r="46" spans="1:2" x14ac:dyDescent="0.2">
      <c r="A46" s="41"/>
      <c r="B46" s="8"/>
    </row>
    <row r="47" spans="1:2" x14ac:dyDescent="0.2">
      <c r="A47" s="22" t="s">
        <v>75</v>
      </c>
      <c r="B47" s="63">
        <f>+BAÚ!B47</f>
        <v>65</v>
      </c>
    </row>
    <row r="48" spans="1:2" x14ac:dyDescent="0.2">
      <c r="A48" s="22" t="s">
        <v>76</v>
      </c>
      <c r="B48" s="63">
        <f>+BAÚ!B48</f>
        <v>24.56</v>
      </c>
    </row>
    <row r="49" spans="1:2" x14ac:dyDescent="0.2">
      <c r="A49" s="22" t="s">
        <v>77</v>
      </c>
      <c r="B49" s="63">
        <f>+BAÚ!B49</f>
        <v>0</v>
      </c>
    </row>
    <row r="50" spans="1:2" x14ac:dyDescent="0.2">
      <c r="A50" s="22" t="s">
        <v>78</v>
      </c>
      <c r="B50" s="63">
        <f>+BAÚ!B50</f>
        <v>14.2</v>
      </c>
    </row>
    <row r="51" spans="1:2" x14ac:dyDescent="0.2">
      <c r="A51" s="22" t="s">
        <v>255</v>
      </c>
      <c r="B51" s="63">
        <f>+BAÚ!B51</f>
        <v>152</v>
      </c>
    </row>
    <row r="52" spans="1:2" x14ac:dyDescent="0.2">
      <c r="A52" s="22" t="s">
        <v>79</v>
      </c>
      <c r="B52" s="8">
        <f>(+B47+B48+B49+B50)*15%</f>
        <v>15.564</v>
      </c>
    </row>
    <row r="53" spans="1:2" x14ac:dyDescent="0.2">
      <c r="A53" s="64" t="s">
        <v>80</v>
      </c>
      <c r="B53" s="65">
        <f>+B47+B48+B49+B50+B51+B52</f>
        <v>271.32400000000001</v>
      </c>
    </row>
    <row r="54" spans="1:2" x14ac:dyDescent="0.2">
      <c r="A54" s="22"/>
      <c r="B54" s="8"/>
    </row>
    <row r="55" spans="1:2" x14ac:dyDescent="0.2">
      <c r="A55" s="22" t="s">
        <v>81</v>
      </c>
      <c r="B55" s="8"/>
    </row>
    <row r="56" spans="1:2" x14ac:dyDescent="0.2">
      <c r="A56" s="22"/>
      <c r="B56" s="8"/>
    </row>
    <row r="57" spans="1:2" x14ac:dyDescent="0.2">
      <c r="A57" s="22" t="s">
        <v>143</v>
      </c>
      <c r="B57" s="8">
        <f>(+B20*3%)/12</f>
        <v>635.55250000000001</v>
      </c>
    </row>
    <row r="58" spans="1:2" x14ac:dyDescent="0.2">
      <c r="A58" s="22" t="s">
        <v>142</v>
      </c>
      <c r="B58" s="8">
        <f>(+B20*1.5%)/12</f>
        <v>317.77625</v>
      </c>
    </row>
    <row r="59" spans="1:2" x14ac:dyDescent="0.2">
      <c r="A59" s="66" t="s">
        <v>82</v>
      </c>
      <c r="B59" s="67">
        <f>+B57+B58</f>
        <v>953.32875000000001</v>
      </c>
    </row>
    <row r="61" spans="1:2" x14ac:dyDescent="0.2">
      <c r="A61" s="47" t="s">
        <v>83</v>
      </c>
      <c r="B61" s="48">
        <f>B59+B53+B43+B36+B29+B22+B16</f>
        <v>12401.799416666667</v>
      </c>
    </row>
    <row r="63" spans="1:2" x14ac:dyDescent="0.2">
      <c r="A63" s="47" t="s">
        <v>191</v>
      </c>
      <c r="B63" s="48">
        <f>+B61-B16-B22-B59</f>
        <v>5940.3490000000002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63"/>
  <sheetViews>
    <sheetView topLeftCell="A20" workbookViewId="0">
      <selection activeCell="A69" sqref="A69"/>
    </sheetView>
  </sheetViews>
  <sheetFormatPr defaultColWidth="12" defaultRowHeight="12.75" x14ac:dyDescent="0.2"/>
  <cols>
    <col min="1" max="1" width="57.33203125" style="1" customWidth="1"/>
    <col min="2" max="2" width="13.33203125" style="1" bestFit="1" customWidth="1"/>
    <col min="3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ht="18" x14ac:dyDescent="0.25">
      <c r="A2" s="11"/>
      <c r="B2" s="12"/>
      <c r="C2" s="12"/>
      <c r="D2" s="12"/>
      <c r="E2" s="12"/>
    </row>
    <row r="3" spans="1:5" x14ac:dyDescent="0.2">
      <c r="A3" s="13"/>
      <c r="B3" s="13"/>
      <c r="C3" s="13"/>
      <c r="D3" s="13"/>
      <c r="E3" s="13"/>
    </row>
    <row r="4" spans="1:5" x14ac:dyDescent="0.2">
      <c r="A4" s="12"/>
      <c r="B4" s="13"/>
      <c r="C4" s="13"/>
      <c r="D4" s="13"/>
      <c r="E4" s="13"/>
    </row>
    <row r="5" spans="1:5" ht="18" x14ac:dyDescent="0.25">
      <c r="A5" s="10" t="s">
        <v>211</v>
      </c>
      <c r="B5" s="13"/>
      <c r="C5" s="13"/>
      <c r="D5" s="13"/>
      <c r="E5" s="13"/>
    </row>
    <row r="6" spans="1:5" x14ac:dyDescent="0.2">
      <c r="A6" s="14" t="s">
        <v>0</v>
      </c>
      <c r="B6" s="14"/>
      <c r="C6" s="14"/>
      <c r="D6" s="14"/>
      <c r="E6" s="14"/>
    </row>
    <row r="7" spans="1:5" x14ac:dyDescent="0.2">
      <c r="A7" s="6"/>
      <c r="B7" s="6"/>
      <c r="C7" s="6"/>
      <c r="D7" s="6"/>
    </row>
    <row r="8" spans="1:5" x14ac:dyDescent="0.2">
      <c r="A8" s="31" t="s">
        <v>219</v>
      </c>
      <c r="B8" s="2"/>
      <c r="C8" s="2"/>
      <c r="D8" s="2"/>
    </row>
    <row r="9" spans="1:5" x14ac:dyDescent="0.2">
      <c r="A9" s="6"/>
      <c r="B9" s="6"/>
      <c r="C9" s="6"/>
      <c r="D9" s="6"/>
    </row>
    <row r="11" spans="1:5" x14ac:dyDescent="0.2">
      <c r="A11" s="1" t="s">
        <v>15</v>
      </c>
    </row>
    <row r="13" spans="1:5" x14ac:dyDescent="0.2">
      <c r="A13" s="41" t="s">
        <v>141</v>
      </c>
      <c r="B13" s="8">
        <f>180233+27000</f>
        <v>207233</v>
      </c>
    </row>
    <row r="14" spans="1:5" x14ac:dyDescent="0.2">
      <c r="A14" s="41" t="s">
        <v>16</v>
      </c>
      <c r="B14" s="8">
        <v>60</v>
      </c>
    </row>
    <row r="15" spans="1:5" x14ac:dyDescent="0.2">
      <c r="A15" s="41" t="s">
        <v>17</v>
      </c>
      <c r="B15" s="62">
        <v>0.3</v>
      </c>
    </row>
    <row r="16" spans="1:5" x14ac:dyDescent="0.2">
      <c r="A16" s="1" t="s">
        <v>18</v>
      </c>
      <c r="B16" s="8">
        <f>((+B13)-(+B13*B15))/60</f>
        <v>2417.7183333333332</v>
      </c>
    </row>
    <row r="18" spans="1:4" x14ac:dyDescent="0.2">
      <c r="A18" s="41" t="s">
        <v>19</v>
      </c>
    </row>
    <row r="20" spans="1:4" x14ac:dyDescent="0.2">
      <c r="A20" s="19" t="s">
        <v>20</v>
      </c>
      <c r="B20" s="6">
        <f>B13</f>
        <v>207233</v>
      </c>
      <c r="C20" s="6"/>
      <c r="D20" s="6"/>
    </row>
    <row r="21" spans="1:4" x14ac:dyDescent="0.2">
      <c r="A21" s="19" t="s">
        <v>21</v>
      </c>
      <c r="B21" s="34">
        <v>0.01</v>
      </c>
      <c r="C21" s="6"/>
      <c r="D21" s="6"/>
    </row>
    <row r="22" spans="1:4" x14ac:dyDescent="0.2">
      <c r="A22" s="19" t="s">
        <v>22</v>
      </c>
      <c r="B22" s="6">
        <f>+B20*B21</f>
        <v>2072.33</v>
      </c>
      <c r="C22" s="6"/>
      <c r="D22" s="6"/>
    </row>
    <row r="23" spans="1:4" x14ac:dyDescent="0.2">
      <c r="A23" s="6" t="s">
        <v>8</v>
      </c>
      <c r="B23" s="6" t="s">
        <v>8</v>
      </c>
      <c r="C23" s="6" t="s">
        <v>8</v>
      </c>
      <c r="D23" s="6"/>
    </row>
    <row r="24" spans="1:4" x14ac:dyDescent="0.2">
      <c r="A24" s="6" t="s">
        <v>23</v>
      </c>
      <c r="B24" s="6" t="s">
        <v>8</v>
      </c>
      <c r="C24" s="6" t="s">
        <v>8</v>
      </c>
      <c r="D24" s="6" t="s">
        <v>8</v>
      </c>
    </row>
    <row r="26" spans="1:4" x14ac:dyDescent="0.2">
      <c r="A26" s="41" t="s">
        <v>24</v>
      </c>
      <c r="B26" s="108">
        <v>4.2679999999999998</v>
      </c>
    </row>
    <row r="27" spans="1:4" x14ac:dyDescent="0.2">
      <c r="A27" s="41" t="s">
        <v>237</v>
      </c>
      <c r="B27" s="8">
        <f>70*26</f>
        <v>1820</v>
      </c>
    </row>
    <row r="28" spans="1:4" x14ac:dyDescent="0.2">
      <c r="A28" s="41" t="s">
        <v>25</v>
      </c>
      <c r="B28" s="8">
        <v>2.4</v>
      </c>
    </row>
    <row r="29" spans="1:4" x14ac:dyDescent="0.2">
      <c r="A29" s="22" t="s">
        <v>26</v>
      </c>
      <c r="B29" s="8">
        <f>+B27/B28*B26</f>
        <v>3236.5666666666666</v>
      </c>
    </row>
    <row r="30" spans="1:4" x14ac:dyDescent="0.2">
      <c r="A30" s="41"/>
      <c r="B30" s="8"/>
    </row>
    <row r="31" spans="1:4" x14ac:dyDescent="0.2">
      <c r="A31" s="6" t="s">
        <v>27</v>
      </c>
      <c r="B31" s="6" t="s">
        <v>256</v>
      </c>
    </row>
    <row r="33" spans="1:2" x14ac:dyDescent="0.2">
      <c r="A33" s="41" t="s">
        <v>98</v>
      </c>
      <c r="B33" s="8">
        <f>1250*6</f>
        <v>7500</v>
      </c>
    </row>
    <row r="34" spans="1:2" x14ac:dyDescent="0.2">
      <c r="A34" s="41" t="s">
        <v>28</v>
      </c>
      <c r="B34" s="8">
        <v>40000</v>
      </c>
    </row>
    <row r="35" spans="1:2" x14ac:dyDescent="0.2">
      <c r="A35" s="41" t="s">
        <v>238</v>
      </c>
      <c r="B35" s="8">
        <f>B27</f>
        <v>1820</v>
      </c>
    </row>
    <row r="36" spans="1:2" x14ac:dyDescent="0.2">
      <c r="A36" s="41" t="s">
        <v>29</v>
      </c>
      <c r="B36" s="8">
        <f>+B33*B35/B34</f>
        <v>341.25</v>
      </c>
    </row>
    <row r="37" spans="1:2" x14ac:dyDescent="0.2">
      <c r="A37" s="41"/>
      <c r="B37" s="8"/>
    </row>
    <row r="38" spans="1:2" x14ac:dyDescent="0.2">
      <c r="A38" s="41" t="s">
        <v>30</v>
      </c>
    </row>
    <row r="39" spans="1:2" x14ac:dyDescent="0.2">
      <c r="A39" s="41" t="s">
        <v>7</v>
      </c>
    </row>
    <row r="40" spans="1:2" x14ac:dyDescent="0.2">
      <c r="A40" s="41" t="s">
        <v>31</v>
      </c>
      <c r="B40" s="62">
        <v>0.5</v>
      </c>
    </row>
    <row r="41" spans="1:2" x14ac:dyDescent="0.2">
      <c r="A41" s="41" t="s">
        <v>32</v>
      </c>
      <c r="B41" s="35">
        <f>B13</f>
        <v>207233</v>
      </c>
    </row>
    <row r="42" spans="1:2" x14ac:dyDescent="0.2">
      <c r="A42" s="41" t="s">
        <v>33</v>
      </c>
      <c r="B42" s="8">
        <v>60</v>
      </c>
    </row>
    <row r="43" spans="1:2" x14ac:dyDescent="0.2">
      <c r="A43" s="41" t="s">
        <v>34</v>
      </c>
      <c r="B43" s="8">
        <f>+B40*B41/B42</f>
        <v>1726.9416666666666</v>
      </c>
    </row>
    <row r="45" spans="1:2" x14ac:dyDescent="0.2">
      <c r="A45" s="22" t="s">
        <v>74</v>
      </c>
      <c r="B45" s="8"/>
    </row>
    <row r="46" spans="1:2" x14ac:dyDescent="0.2">
      <c r="A46" s="41"/>
      <c r="B46" s="8"/>
    </row>
    <row r="47" spans="1:2" x14ac:dyDescent="0.2">
      <c r="A47" s="22" t="s">
        <v>75</v>
      </c>
      <c r="B47" s="63">
        <f>+'COMPACTADOR 15m³_OK'!B47</f>
        <v>65</v>
      </c>
    </row>
    <row r="48" spans="1:2" x14ac:dyDescent="0.2">
      <c r="A48" s="22" t="s">
        <v>76</v>
      </c>
      <c r="B48" s="63">
        <f>+'COMPACTADOR 15m³_OK'!B48</f>
        <v>24.56</v>
      </c>
    </row>
    <row r="49" spans="1:2" x14ac:dyDescent="0.2">
      <c r="A49" s="22" t="s">
        <v>77</v>
      </c>
      <c r="B49" s="63">
        <v>0</v>
      </c>
    </row>
    <row r="50" spans="1:2" x14ac:dyDescent="0.2">
      <c r="A50" s="22" t="s">
        <v>78</v>
      </c>
      <c r="B50" s="63">
        <f>+'COMPACTADOR 15m³_OK'!B50</f>
        <v>14.2</v>
      </c>
    </row>
    <row r="51" spans="1:2" x14ac:dyDescent="0.2">
      <c r="A51" s="22" t="s">
        <v>255</v>
      </c>
      <c r="B51" s="8">
        <f>8*19</f>
        <v>152</v>
      </c>
    </row>
    <row r="52" spans="1:2" x14ac:dyDescent="0.2">
      <c r="A52" s="22" t="s">
        <v>79</v>
      </c>
      <c r="B52" s="8">
        <f>(+B47+B48+B49+B50)*15%</f>
        <v>15.564</v>
      </c>
    </row>
    <row r="53" spans="1:2" x14ac:dyDescent="0.2">
      <c r="A53" s="64" t="s">
        <v>80</v>
      </c>
      <c r="B53" s="65">
        <f>+B47+B48+B49+B50+B51+B52</f>
        <v>271.32400000000001</v>
      </c>
    </row>
    <row r="54" spans="1:2" x14ac:dyDescent="0.2">
      <c r="A54" s="22"/>
      <c r="B54" s="8"/>
    </row>
    <row r="55" spans="1:2" x14ac:dyDescent="0.2">
      <c r="A55" s="22" t="s">
        <v>81</v>
      </c>
      <c r="B55" s="8"/>
    </row>
    <row r="56" spans="1:2" x14ac:dyDescent="0.2">
      <c r="A56" s="22"/>
      <c r="B56" s="8"/>
    </row>
    <row r="57" spans="1:2" x14ac:dyDescent="0.2">
      <c r="A57" s="22" t="s">
        <v>143</v>
      </c>
      <c r="B57" s="8">
        <f>(+B20*3%)/12</f>
        <v>518.08249999999998</v>
      </c>
    </row>
    <row r="58" spans="1:2" x14ac:dyDescent="0.2">
      <c r="A58" s="22" t="s">
        <v>142</v>
      </c>
      <c r="B58" s="8">
        <f>(+B20*1.5%)/12</f>
        <v>259.04124999999999</v>
      </c>
    </row>
    <row r="59" spans="1:2" x14ac:dyDescent="0.2">
      <c r="A59" s="66" t="s">
        <v>82</v>
      </c>
      <c r="B59" s="67">
        <f>+B57+B58</f>
        <v>777.12374999999997</v>
      </c>
    </row>
    <row r="61" spans="1:2" x14ac:dyDescent="0.2">
      <c r="A61" s="47" t="s">
        <v>83</v>
      </c>
      <c r="B61" s="48">
        <f>B59+B53+B43+B36+B29+B22+B16</f>
        <v>10843.254416666667</v>
      </c>
    </row>
    <row r="63" spans="1:2" x14ac:dyDescent="0.2">
      <c r="A63" s="47" t="s">
        <v>191</v>
      </c>
      <c r="B63" s="48">
        <f>+B61-B16-B22-B59</f>
        <v>5576.0823333333328</v>
      </c>
    </row>
  </sheetData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E63"/>
  <sheetViews>
    <sheetView view="pageBreakPreview" topLeftCell="A49" zoomScale="115" zoomScaleNormal="100" zoomScaleSheetLayoutView="115" workbookViewId="0">
      <selection activeCell="A66" sqref="A66"/>
    </sheetView>
  </sheetViews>
  <sheetFormatPr defaultColWidth="12" defaultRowHeight="12.75" x14ac:dyDescent="0.2"/>
  <cols>
    <col min="1" max="1" width="58.83203125" style="1" customWidth="1"/>
    <col min="2" max="2" width="13.33203125" style="1" customWidth="1"/>
    <col min="3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ht="18" x14ac:dyDescent="0.25">
      <c r="A2" s="11"/>
      <c r="B2" s="12"/>
      <c r="C2" s="12"/>
      <c r="D2" s="12"/>
      <c r="E2" s="12"/>
    </row>
    <row r="3" spans="1:5" x14ac:dyDescent="0.2">
      <c r="A3" s="13"/>
      <c r="B3" s="13"/>
      <c r="C3" s="13"/>
      <c r="D3" s="13"/>
      <c r="E3" s="13"/>
    </row>
    <row r="4" spans="1:5" x14ac:dyDescent="0.2">
      <c r="A4" s="12"/>
      <c r="B4" s="13"/>
      <c r="C4" s="13"/>
      <c r="D4" s="13"/>
      <c r="E4" s="13"/>
    </row>
    <row r="5" spans="1:5" ht="18" x14ac:dyDescent="0.25">
      <c r="A5" s="10" t="s">
        <v>211</v>
      </c>
      <c r="B5" s="13"/>
      <c r="C5" s="13"/>
      <c r="D5" s="13"/>
      <c r="E5" s="13"/>
    </row>
    <row r="6" spans="1:5" x14ac:dyDescent="0.2">
      <c r="A6" s="14" t="s">
        <v>0</v>
      </c>
      <c r="B6" s="14"/>
      <c r="C6" s="14"/>
      <c r="D6" s="14"/>
      <c r="E6" s="14"/>
    </row>
    <row r="7" spans="1:5" x14ac:dyDescent="0.2">
      <c r="A7" s="6"/>
      <c r="B7" s="6"/>
    </row>
    <row r="8" spans="1:5" ht="14.25" x14ac:dyDescent="0.2">
      <c r="A8" s="413" t="s">
        <v>186</v>
      </c>
      <c r="B8" s="413"/>
    </row>
    <row r="9" spans="1:5" x14ac:dyDescent="0.2">
      <c r="A9" s="6"/>
      <c r="B9" s="6"/>
    </row>
    <row r="11" spans="1:5" x14ac:dyDescent="0.2">
      <c r="A11" s="1" t="s">
        <v>15</v>
      </c>
    </row>
    <row r="13" spans="1:5" x14ac:dyDescent="0.2">
      <c r="A13" s="41" t="s">
        <v>144</v>
      </c>
      <c r="B13" s="8">
        <f>(424000+470400)/2</f>
        <v>447200</v>
      </c>
    </row>
    <row r="14" spans="1:5" x14ac:dyDescent="0.2">
      <c r="A14" s="41" t="s">
        <v>16</v>
      </c>
      <c r="B14" s="8">
        <v>60</v>
      </c>
    </row>
    <row r="15" spans="1:5" x14ac:dyDescent="0.2">
      <c r="A15" s="41" t="s">
        <v>17</v>
      </c>
      <c r="B15" s="62">
        <v>0.3</v>
      </c>
    </row>
    <row r="16" spans="1:5" x14ac:dyDescent="0.2">
      <c r="A16" s="1" t="s">
        <v>18</v>
      </c>
      <c r="B16" s="8">
        <f>((+B13)-(+B13*B15))/60</f>
        <v>5217.333333333333</v>
      </c>
    </row>
    <row r="18" spans="1:2" x14ac:dyDescent="0.2">
      <c r="A18" s="41" t="s">
        <v>19</v>
      </c>
    </row>
    <row r="20" spans="1:2" x14ac:dyDescent="0.2">
      <c r="A20" s="19" t="s">
        <v>20</v>
      </c>
      <c r="B20" s="6">
        <f>B13</f>
        <v>447200</v>
      </c>
    </row>
    <row r="21" spans="1:2" x14ac:dyDescent="0.2">
      <c r="A21" s="19" t="s">
        <v>21</v>
      </c>
      <c r="B21" s="34">
        <v>0.01</v>
      </c>
    </row>
    <row r="22" spans="1:2" x14ac:dyDescent="0.2">
      <c r="A22" s="19" t="s">
        <v>22</v>
      </c>
      <c r="B22" s="6">
        <f>+B20*B21</f>
        <v>4472</v>
      </c>
    </row>
    <row r="23" spans="1:2" x14ac:dyDescent="0.2">
      <c r="A23" s="6" t="s">
        <v>8</v>
      </c>
      <c r="B23" s="6" t="s">
        <v>8</v>
      </c>
    </row>
    <row r="24" spans="1:2" x14ac:dyDescent="0.2">
      <c r="A24" s="6" t="s">
        <v>23</v>
      </c>
      <c r="B24" s="6" t="s">
        <v>8</v>
      </c>
    </row>
    <row r="26" spans="1:2" x14ac:dyDescent="0.2">
      <c r="A26" s="41" t="s">
        <v>24</v>
      </c>
      <c r="B26" s="108">
        <v>3.8959999999999999</v>
      </c>
    </row>
    <row r="27" spans="1:2" x14ac:dyDescent="0.2">
      <c r="A27" s="41" t="s">
        <v>259</v>
      </c>
      <c r="B27" s="8">
        <f>90*26</f>
        <v>2340</v>
      </c>
    </row>
    <row r="28" spans="1:2" x14ac:dyDescent="0.2">
      <c r="A28" s="41" t="s">
        <v>25</v>
      </c>
      <c r="B28" s="8">
        <v>1.75</v>
      </c>
    </row>
    <row r="29" spans="1:2" x14ac:dyDescent="0.2">
      <c r="A29" s="22" t="s">
        <v>26</v>
      </c>
      <c r="B29" s="8">
        <f>+B27/B28*B26</f>
        <v>5209.5085714285715</v>
      </c>
    </row>
    <row r="30" spans="1:2" x14ac:dyDescent="0.2">
      <c r="A30" s="41"/>
      <c r="B30" s="8"/>
    </row>
    <row r="31" spans="1:2" x14ac:dyDescent="0.2">
      <c r="A31" s="6" t="s">
        <v>27</v>
      </c>
      <c r="B31" s="6" t="s">
        <v>8</v>
      </c>
    </row>
    <row r="33" spans="1:2" x14ac:dyDescent="0.2">
      <c r="A33" s="41" t="s">
        <v>98</v>
      </c>
      <c r="B33" s="8">
        <f>+'COMPACTADOR 19m³ '!B33</f>
        <v>9300</v>
      </c>
    </row>
    <row r="34" spans="1:2" x14ac:dyDescent="0.2">
      <c r="A34" s="41" t="s">
        <v>28</v>
      </c>
      <c r="B34" s="8">
        <v>40000</v>
      </c>
    </row>
    <row r="35" spans="1:2" x14ac:dyDescent="0.2">
      <c r="A35" s="41" t="s">
        <v>239</v>
      </c>
      <c r="B35" s="8">
        <f>70*26*2</f>
        <v>3640</v>
      </c>
    </row>
    <row r="36" spans="1:2" x14ac:dyDescent="0.2">
      <c r="A36" s="41" t="s">
        <v>29</v>
      </c>
      <c r="B36" s="8">
        <f>+B33*B35/B34</f>
        <v>846.3</v>
      </c>
    </row>
    <row r="37" spans="1:2" x14ac:dyDescent="0.2">
      <c r="A37" s="41"/>
      <c r="B37" s="8"/>
    </row>
    <row r="38" spans="1:2" x14ac:dyDescent="0.2">
      <c r="A38" s="41" t="s">
        <v>30</v>
      </c>
    </row>
    <row r="39" spans="1:2" x14ac:dyDescent="0.2">
      <c r="A39" s="41" t="s">
        <v>7</v>
      </c>
    </row>
    <row r="40" spans="1:2" x14ac:dyDescent="0.2">
      <c r="A40" s="41" t="s">
        <v>31</v>
      </c>
      <c r="B40" s="62">
        <v>0.5</v>
      </c>
    </row>
    <row r="41" spans="1:2" x14ac:dyDescent="0.2">
      <c r="A41" s="41" t="s">
        <v>32</v>
      </c>
      <c r="B41" s="35">
        <f>+B13</f>
        <v>447200</v>
      </c>
    </row>
    <row r="42" spans="1:2" x14ac:dyDescent="0.2">
      <c r="A42" s="41" t="s">
        <v>33</v>
      </c>
      <c r="B42" s="8">
        <v>60</v>
      </c>
    </row>
    <row r="43" spans="1:2" x14ac:dyDescent="0.2">
      <c r="A43" s="41" t="s">
        <v>34</v>
      </c>
      <c r="B43" s="8">
        <f>+B40*B41/B42</f>
        <v>3726.6666666666665</v>
      </c>
    </row>
    <row r="45" spans="1:2" x14ac:dyDescent="0.2">
      <c r="A45" s="22" t="s">
        <v>74</v>
      </c>
      <c r="B45" s="8"/>
    </row>
    <row r="46" spans="1:2" x14ac:dyDescent="0.2">
      <c r="A46" s="41"/>
      <c r="B46" s="8"/>
    </row>
    <row r="47" spans="1:2" x14ac:dyDescent="0.2">
      <c r="A47" s="22" t="s">
        <v>75</v>
      </c>
      <c r="B47" s="63">
        <f>+'COMPACTADOR 19m³ '!B47</f>
        <v>65</v>
      </c>
    </row>
    <row r="48" spans="1:2" x14ac:dyDescent="0.2">
      <c r="A48" s="22" t="s">
        <v>76</v>
      </c>
      <c r="B48" s="63">
        <f>+'COMPACTADOR 19m³ '!B48</f>
        <v>24.56</v>
      </c>
    </row>
    <row r="49" spans="1:2" x14ac:dyDescent="0.2">
      <c r="A49" s="22" t="s">
        <v>77</v>
      </c>
      <c r="B49" s="63">
        <f>+'COMPACTADOR 19m³ '!B49</f>
        <v>75</v>
      </c>
    </row>
    <row r="50" spans="1:2" x14ac:dyDescent="0.2">
      <c r="A50" s="22" t="s">
        <v>78</v>
      </c>
      <c r="B50" s="63">
        <f>+'COMPACTADOR 19m³ '!B50</f>
        <v>14.2</v>
      </c>
    </row>
    <row r="51" spans="1:2" x14ac:dyDescent="0.2">
      <c r="A51" s="22" t="str">
        <f>+'COMPACTADOR 19m³ '!A51</f>
        <v xml:space="preserve">   F5 - Lavagem  ( 16 LAVAGENS A R$ 19,00)</v>
      </c>
      <c r="B51" s="63">
        <f>+'COMPACTADOR 19m³ '!B51</f>
        <v>304</v>
      </c>
    </row>
    <row r="52" spans="1:2" x14ac:dyDescent="0.2">
      <c r="A52" s="22" t="s">
        <v>79</v>
      </c>
      <c r="B52" s="8">
        <f>(+B47+B48+B49+B50)*15%</f>
        <v>26.813999999999997</v>
      </c>
    </row>
    <row r="53" spans="1:2" x14ac:dyDescent="0.2">
      <c r="A53" s="64" t="s">
        <v>80</v>
      </c>
      <c r="B53" s="65">
        <f>+B47+B48+B49+B50+B51+B52</f>
        <v>509.57400000000001</v>
      </c>
    </row>
    <row r="54" spans="1:2" x14ac:dyDescent="0.2">
      <c r="A54" s="22"/>
      <c r="B54" s="8"/>
    </row>
    <row r="55" spans="1:2" x14ac:dyDescent="0.2">
      <c r="A55" s="22" t="s">
        <v>81</v>
      </c>
      <c r="B55" s="8"/>
    </row>
    <row r="56" spans="1:2" x14ac:dyDescent="0.2">
      <c r="A56" s="22"/>
      <c r="B56" s="8"/>
    </row>
    <row r="57" spans="1:2" x14ac:dyDescent="0.2">
      <c r="A57" s="22" t="s">
        <v>143</v>
      </c>
      <c r="B57" s="8">
        <f>(+B20*3%)/12</f>
        <v>1118</v>
      </c>
    </row>
    <row r="58" spans="1:2" x14ac:dyDescent="0.2">
      <c r="A58" s="22" t="s">
        <v>142</v>
      </c>
      <c r="B58" s="8">
        <f>(+B20*1.5%)/12</f>
        <v>559</v>
      </c>
    </row>
    <row r="59" spans="1:2" x14ac:dyDescent="0.2">
      <c r="A59" s="66" t="s">
        <v>82</v>
      </c>
      <c r="B59" s="67">
        <f>+B57+B58</f>
        <v>1677</v>
      </c>
    </row>
    <row r="61" spans="1:2" x14ac:dyDescent="0.2">
      <c r="A61" s="47" t="s">
        <v>190</v>
      </c>
      <c r="B61" s="48">
        <f>B59+B53+B43+B36+B29+B22+B16</f>
        <v>21658.38257142857</v>
      </c>
    </row>
    <row r="63" spans="1:2" x14ac:dyDescent="0.2">
      <c r="A63" s="47" t="s">
        <v>191</v>
      </c>
      <c r="B63" s="48">
        <f>+B61-B16-B22-B59</f>
        <v>10292.049238095238</v>
      </c>
    </row>
  </sheetData>
  <mergeCells count="1">
    <mergeCell ref="A8:B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60" verticalDpi="360" r:id="rId1"/>
  <headerFooter alignWithMargins="0">
    <oddHeader>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E63"/>
  <sheetViews>
    <sheetView view="pageBreakPreview" topLeftCell="A52" zoomScaleNormal="100" zoomScaleSheetLayoutView="100" workbookViewId="0">
      <selection activeCell="E64" sqref="E64"/>
    </sheetView>
  </sheetViews>
  <sheetFormatPr defaultColWidth="12" defaultRowHeight="12.75" x14ac:dyDescent="0.2"/>
  <cols>
    <col min="1" max="1" width="58.83203125" style="1" customWidth="1"/>
    <col min="2" max="2" width="13.33203125" style="1" customWidth="1"/>
    <col min="3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ht="18" x14ac:dyDescent="0.25">
      <c r="A2" s="11"/>
      <c r="B2" s="12"/>
      <c r="C2" s="12"/>
      <c r="D2" s="12"/>
      <c r="E2" s="12"/>
    </row>
    <row r="3" spans="1:5" x14ac:dyDescent="0.2">
      <c r="A3" s="13"/>
      <c r="B3" s="13"/>
      <c r="C3" s="13"/>
      <c r="D3" s="13"/>
      <c r="E3" s="13"/>
    </row>
    <row r="4" spans="1:5" x14ac:dyDescent="0.2">
      <c r="A4" s="12"/>
      <c r="B4" s="13"/>
      <c r="C4" s="13"/>
      <c r="D4" s="13"/>
      <c r="E4" s="13"/>
    </row>
    <row r="5" spans="1:5" ht="18" x14ac:dyDescent="0.25">
      <c r="A5" s="10" t="s">
        <v>211</v>
      </c>
      <c r="B5" s="13"/>
      <c r="C5" s="13"/>
      <c r="D5" s="13"/>
      <c r="E5" s="13"/>
    </row>
    <row r="6" spans="1:5" x14ac:dyDescent="0.2">
      <c r="A6" s="14" t="s">
        <v>0</v>
      </c>
      <c r="B6" s="14"/>
      <c r="C6" s="14"/>
      <c r="D6" s="14"/>
      <c r="E6" s="14"/>
    </row>
    <row r="7" spans="1:5" x14ac:dyDescent="0.2">
      <c r="A7" s="6"/>
      <c r="B7" s="6"/>
    </row>
    <row r="8" spans="1:5" ht="14.25" x14ac:dyDescent="0.2">
      <c r="A8" s="413" t="s">
        <v>253</v>
      </c>
      <c r="B8" s="413"/>
    </row>
    <row r="9" spans="1:5" x14ac:dyDescent="0.2">
      <c r="A9" s="6"/>
      <c r="B9" s="6"/>
    </row>
    <row r="11" spans="1:5" x14ac:dyDescent="0.2">
      <c r="A11" s="1" t="s">
        <v>15</v>
      </c>
    </row>
    <row r="13" spans="1:5" x14ac:dyDescent="0.2">
      <c r="A13" s="41" t="s">
        <v>144</v>
      </c>
      <c r="B13" s="8">
        <f>256706+139000</f>
        <v>395706</v>
      </c>
    </row>
    <row r="14" spans="1:5" x14ac:dyDescent="0.2">
      <c r="A14" s="41" t="s">
        <v>16</v>
      </c>
      <c r="B14" s="8">
        <v>60</v>
      </c>
    </row>
    <row r="15" spans="1:5" x14ac:dyDescent="0.2">
      <c r="A15" s="41" t="s">
        <v>17</v>
      </c>
      <c r="B15" s="62">
        <v>0.3</v>
      </c>
    </row>
    <row r="16" spans="1:5" x14ac:dyDescent="0.2">
      <c r="A16" s="1" t="s">
        <v>18</v>
      </c>
      <c r="B16" s="8">
        <f>((+B13)-(+B13*B15))/60</f>
        <v>4616.5700000000006</v>
      </c>
    </row>
    <row r="18" spans="1:2" x14ac:dyDescent="0.2">
      <c r="A18" s="41" t="s">
        <v>19</v>
      </c>
    </row>
    <row r="20" spans="1:2" x14ac:dyDescent="0.2">
      <c r="A20" s="19" t="s">
        <v>20</v>
      </c>
      <c r="B20" s="6">
        <f>B13</f>
        <v>395706</v>
      </c>
    </row>
    <row r="21" spans="1:2" x14ac:dyDescent="0.2">
      <c r="A21" s="19" t="s">
        <v>21</v>
      </c>
      <c r="B21" s="34">
        <v>0.01</v>
      </c>
    </row>
    <row r="22" spans="1:2" x14ac:dyDescent="0.2">
      <c r="A22" s="19" t="s">
        <v>22</v>
      </c>
      <c r="B22" s="6">
        <f>+B20*B21</f>
        <v>3957.06</v>
      </c>
    </row>
    <row r="23" spans="1:2" x14ac:dyDescent="0.2">
      <c r="A23" s="6" t="s">
        <v>8</v>
      </c>
      <c r="B23" s="6" t="s">
        <v>8</v>
      </c>
    </row>
    <row r="24" spans="1:2" x14ac:dyDescent="0.2">
      <c r="A24" s="6" t="s">
        <v>23</v>
      </c>
      <c r="B24" s="6" t="s">
        <v>8</v>
      </c>
    </row>
    <row r="26" spans="1:2" x14ac:dyDescent="0.2">
      <c r="A26" s="41" t="s">
        <v>24</v>
      </c>
      <c r="B26" s="108">
        <v>3.8959999999999999</v>
      </c>
    </row>
    <row r="27" spans="1:2" x14ac:dyDescent="0.2">
      <c r="A27" s="41" t="s">
        <v>259</v>
      </c>
      <c r="B27" s="8">
        <f>90*26</f>
        <v>2340</v>
      </c>
    </row>
    <row r="28" spans="1:2" x14ac:dyDescent="0.2">
      <c r="A28" s="41" t="s">
        <v>25</v>
      </c>
      <c r="B28" s="8">
        <v>1.6</v>
      </c>
    </row>
    <row r="29" spans="1:2" x14ac:dyDescent="0.2">
      <c r="A29" s="22" t="s">
        <v>26</v>
      </c>
      <c r="B29" s="8">
        <f>+B27/B28*B26</f>
        <v>5697.9</v>
      </c>
    </row>
    <row r="30" spans="1:2" x14ac:dyDescent="0.2">
      <c r="A30" s="41"/>
      <c r="B30" s="8"/>
    </row>
    <row r="31" spans="1:2" x14ac:dyDescent="0.2">
      <c r="A31" s="6" t="s">
        <v>27</v>
      </c>
      <c r="B31" s="6" t="s">
        <v>8</v>
      </c>
    </row>
    <row r="33" spans="1:2" x14ac:dyDescent="0.2">
      <c r="A33" s="41" t="s">
        <v>98</v>
      </c>
      <c r="B33" s="8">
        <f>1550*6</f>
        <v>9300</v>
      </c>
    </row>
    <row r="34" spans="1:2" x14ac:dyDescent="0.2">
      <c r="A34" s="41" t="s">
        <v>28</v>
      </c>
      <c r="B34" s="8">
        <v>40000</v>
      </c>
    </row>
    <row r="35" spans="1:2" x14ac:dyDescent="0.2">
      <c r="A35" s="41" t="s">
        <v>239</v>
      </c>
      <c r="B35" s="8">
        <f>+B27</f>
        <v>2340</v>
      </c>
    </row>
    <row r="36" spans="1:2" x14ac:dyDescent="0.2">
      <c r="A36" s="41" t="s">
        <v>29</v>
      </c>
      <c r="B36" s="8">
        <f>+B33*B35/B34</f>
        <v>544.04999999999995</v>
      </c>
    </row>
    <row r="37" spans="1:2" x14ac:dyDescent="0.2">
      <c r="A37" s="41"/>
      <c r="B37" s="8"/>
    </row>
    <row r="38" spans="1:2" x14ac:dyDescent="0.2">
      <c r="A38" s="41" t="s">
        <v>30</v>
      </c>
    </row>
    <row r="39" spans="1:2" x14ac:dyDescent="0.2">
      <c r="A39" s="41" t="s">
        <v>7</v>
      </c>
    </row>
    <row r="40" spans="1:2" x14ac:dyDescent="0.2">
      <c r="A40" s="41" t="s">
        <v>31</v>
      </c>
      <c r="B40" s="62">
        <v>0.5</v>
      </c>
    </row>
    <row r="41" spans="1:2" x14ac:dyDescent="0.2">
      <c r="A41" s="41" t="s">
        <v>32</v>
      </c>
      <c r="B41" s="35">
        <f>+B13</f>
        <v>395706</v>
      </c>
    </row>
    <row r="42" spans="1:2" x14ac:dyDescent="0.2">
      <c r="A42" s="41" t="s">
        <v>33</v>
      </c>
      <c r="B42" s="8">
        <v>60</v>
      </c>
    </row>
    <row r="43" spans="1:2" x14ac:dyDescent="0.2">
      <c r="A43" s="41" t="s">
        <v>34</v>
      </c>
      <c r="B43" s="8">
        <f>+B40*B41/B42</f>
        <v>3297.55</v>
      </c>
    </row>
    <row r="45" spans="1:2" x14ac:dyDescent="0.2">
      <c r="A45" s="22" t="s">
        <v>74</v>
      </c>
      <c r="B45" s="8"/>
    </row>
    <row r="46" spans="1:2" x14ac:dyDescent="0.2">
      <c r="A46" s="41"/>
      <c r="B46" s="8"/>
    </row>
    <row r="47" spans="1:2" x14ac:dyDescent="0.2">
      <c r="A47" s="22" t="s">
        <v>75</v>
      </c>
      <c r="B47" s="63">
        <v>65</v>
      </c>
    </row>
    <row r="48" spans="1:2" x14ac:dyDescent="0.2">
      <c r="A48" s="22" t="s">
        <v>76</v>
      </c>
      <c r="B48" s="8">
        <v>24.56</v>
      </c>
    </row>
    <row r="49" spans="1:2" x14ac:dyDescent="0.2">
      <c r="A49" s="22" t="s">
        <v>77</v>
      </c>
      <c r="B49" s="8">
        <v>75</v>
      </c>
    </row>
    <row r="50" spans="1:2" x14ac:dyDescent="0.2">
      <c r="A50" s="22" t="s">
        <v>78</v>
      </c>
      <c r="B50" s="8">
        <v>14.2</v>
      </c>
    </row>
    <row r="51" spans="1:2" x14ac:dyDescent="0.2">
      <c r="A51" s="22" t="s">
        <v>254</v>
      </c>
      <c r="B51" s="8">
        <f>16*19</f>
        <v>304</v>
      </c>
    </row>
    <row r="52" spans="1:2" x14ac:dyDescent="0.2">
      <c r="A52" s="22" t="s">
        <v>79</v>
      </c>
      <c r="B52" s="8">
        <f>(+B47+B48+B49+B50)*15%</f>
        <v>26.813999999999997</v>
      </c>
    </row>
    <row r="53" spans="1:2" x14ac:dyDescent="0.2">
      <c r="A53" s="64" t="s">
        <v>80</v>
      </c>
      <c r="B53" s="65">
        <f>+B47+B48+B49+B50+B51+B52</f>
        <v>509.57400000000001</v>
      </c>
    </row>
    <row r="54" spans="1:2" x14ac:dyDescent="0.2">
      <c r="A54" s="22"/>
      <c r="B54" s="8"/>
    </row>
    <row r="55" spans="1:2" x14ac:dyDescent="0.2">
      <c r="A55" s="22" t="s">
        <v>81</v>
      </c>
      <c r="B55" s="8"/>
    </row>
    <row r="56" spans="1:2" x14ac:dyDescent="0.2">
      <c r="A56" s="22"/>
      <c r="B56" s="8"/>
    </row>
    <row r="57" spans="1:2" x14ac:dyDescent="0.2">
      <c r="A57" s="22" t="s">
        <v>143</v>
      </c>
      <c r="B57" s="8">
        <f>(+B20*3%)/12</f>
        <v>989.26499999999999</v>
      </c>
    </row>
    <row r="58" spans="1:2" x14ac:dyDescent="0.2">
      <c r="A58" s="22" t="s">
        <v>142</v>
      </c>
      <c r="B58" s="8">
        <f>(+B20*1.5%)/12</f>
        <v>494.63249999999999</v>
      </c>
    </row>
    <row r="59" spans="1:2" x14ac:dyDescent="0.2">
      <c r="A59" s="66" t="s">
        <v>82</v>
      </c>
      <c r="B59" s="67">
        <f>+B57+B58</f>
        <v>1483.8975</v>
      </c>
    </row>
    <row r="61" spans="1:2" x14ac:dyDescent="0.2">
      <c r="A61" s="47" t="s">
        <v>190</v>
      </c>
      <c r="B61" s="48">
        <f>B59+B53+B43+B36+B29+B22+B16</f>
        <v>20106.601500000001</v>
      </c>
    </row>
    <row r="63" spans="1:2" x14ac:dyDescent="0.2">
      <c r="A63" s="47" t="s">
        <v>191</v>
      </c>
      <c r="B63" s="48">
        <f>+B61-B16-B22-B59</f>
        <v>10049.074000000001</v>
      </c>
    </row>
  </sheetData>
  <mergeCells count="1">
    <mergeCell ref="A8:B8"/>
  </mergeCells>
  <pageMargins left="0.78740157499999996" right="0.78740157499999996" top="0.984251969" bottom="0.984251969" header="0.49212598499999999" footer="0.49212598499999999"/>
  <pageSetup paperSize="9" orientation="portrait" r:id="rId1"/>
  <headerFooter alignWithMargins="0">
    <oddHeader>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1">
    <tabColor rgb="FF92D050"/>
  </sheetPr>
  <dimension ref="A1:H81"/>
  <sheetViews>
    <sheetView view="pageBreakPreview" topLeftCell="A61" zoomScaleNormal="100" zoomScaleSheetLayoutView="100" workbookViewId="0">
      <selection activeCell="F64" sqref="F64"/>
    </sheetView>
  </sheetViews>
  <sheetFormatPr defaultColWidth="12" defaultRowHeight="12.75" x14ac:dyDescent="0.2"/>
  <cols>
    <col min="1" max="1" width="43.83203125" style="13" customWidth="1"/>
    <col min="2" max="2" width="6.1640625" style="13" customWidth="1"/>
    <col min="3" max="3" width="5.83203125" style="13" customWidth="1"/>
    <col min="4" max="4" width="17.33203125" style="13" customWidth="1"/>
    <col min="5" max="5" width="17.83203125" style="13" customWidth="1"/>
    <col min="6" max="6" width="16" style="13" bestFit="1" customWidth="1"/>
    <col min="7" max="7" width="17" style="13" customWidth="1"/>
    <col min="8" max="8" width="14.33203125" style="1" bestFit="1" customWidth="1"/>
    <col min="9" max="16384" width="12" style="1"/>
  </cols>
  <sheetData>
    <row r="1" spans="1:7" ht="18" x14ac:dyDescent="0.25">
      <c r="A1" s="10" t="s">
        <v>211</v>
      </c>
      <c r="B1" s="10"/>
      <c r="C1" s="10"/>
      <c r="D1" s="11"/>
      <c r="E1" s="11"/>
      <c r="F1" s="11"/>
      <c r="G1" s="11"/>
    </row>
    <row r="2" spans="1:7" ht="18" x14ac:dyDescent="0.25">
      <c r="A2" s="11"/>
      <c r="B2" s="11"/>
      <c r="C2" s="11"/>
      <c r="D2" s="12"/>
      <c r="E2" s="12"/>
      <c r="F2" s="12"/>
      <c r="G2" s="12"/>
    </row>
    <row r="4" spans="1:7" x14ac:dyDescent="0.2">
      <c r="A4" s="12"/>
    </row>
    <row r="5" spans="1:7" ht="18" x14ac:dyDescent="0.25">
      <c r="A5" s="10" t="s">
        <v>211</v>
      </c>
    </row>
    <row r="6" spans="1:7" x14ac:dyDescent="0.2">
      <c r="A6" s="14" t="s">
        <v>0</v>
      </c>
      <c r="B6" s="14"/>
      <c r="C6" s="14"/>
      <c r="D6" s="14"/>
      <c r="E6" s="14"/>
      <c r="F6" s="14"/>
      <c r="G6" s="14"/>
    </row>
    <row r="7" spans="1:7" x14ac:dyDescent="0.2">
      <c r="A7" s="6"/>
      <c r="B7" s="6"/>
      <c r="C7" s="6"/>
      <c r="D7" s="6"/>
      <c r="E7" s="6"/>
      <c r="F7" s="6"/>
      <c r="G7" s="6"/>
    </row>
    <row r="8" spans="1:7" x14ac:dyDescent="0.2">
      <c r="A8" s="15" t="s">
        <v>194</v>
      </c>
      <c r="B8" s="15"/>
      <c r="C8" s="15"/>
      <c r="D8" s="2"/>
      <c r="E8" s="2"/>
      <c r="F8" s="2"/>
      <c r="G8" s="2"/>
    </row>
    <row r="9" spans="1:7" x14ac:dyDescent="0.2">
      <c r="A9" s="15"/>
      <c r="B9" s="15"/>
      <c r="C9" s="15"/>
      <c r="D9" s="2"/>
      <c r="E9" s="2"/>
      <c r="F9" s="2"/>
      <c r="G9" s="2"/>
    </row>
    <row r="10" spans="1:7" x14ac:dyDescent="0.2">
      <c r="A10" s="16" t="s">
        <v>35</v>
      </c>
      <c r="B10" s="32"/>
      <c r="C10" s="32"/>
      <c r="D10" s="2">
        <f>ROUND(+D16+D22+D28+F16+F22+F28,2)</f>
        <v>395576.8</v>
      </c>
      <c r="E10" s="6"/>
      <c r="F10" s="6"/>
      <c r="G10" s="6"/>
    </row>
    <row r="11" spans="1:7" x14ac:dyDescent="0.2">
      <c r="A11" s="6"/>
      <c r="B11" s="6"/>
      <c r="C11" s="6"/>
      <c r="D11" s="60" t="s">
        <v>192</v>
      </c>
      <c r="E11" s="17"/>
      <c r="F11" s="60" t="s">
        <v>193</v>
      </c>
      <c r="G11" s="6"/>
    </row>
    <row r="12" spans="1:7" x14ac:dyDescent="0.2">
      <c r="A12" s="18" t="s">
        <v>88</v>
      </c>
      <c r="C12" s="18"/>
      <c r="D12" s="6">
        <v>31</v>
      </c>
      <c r="E12" s="6" t="s">
        <v>36</v>
      </c>
      <c r="F12" s="6">
        <v>25</v>
      </c>
    </row>
    <row r="13" spans="1:7" x14ac:dyDescent="0.2">
      <c r="A13" s="19" t="s">
        <v>52</v>
      </c>
      <c r="B13" s="19"/>
      <c r="C13" s="19"/>
      <c r="D13" s="6">
        <f>COLETOR!B27</f>
        <v>3918.9569400000005</v>
      </c>
      <c r="E13" s="19" t="s">
        <v>37</v>
      </c>
      <c r="F13" s="6">
        <f>+COLETOR!B54</f>
        <v>4076.0523654545459</v>
      </c>
    </row>
    <row r="14" spans="1:7" x14ac:dyDescent="0.2">
      <c r="A14" s="19" t="s">
        <v>91</v>
      </c>
      <c r="B14" s="19"/>
      <c r="C14" s="19"/>
      <c r="D14" s="6">
        <f>ROUND(+D13*D12,2)</f>
        <v>121487.67</v>
      </c>
      <c r="E14" s="6" t="s">
        <v>39</v>
      </c>
      <c r="F14" s="6">
        <f>ROUND(+F13*F12,2)</f>
        <v>101901.31</v>
      </c>
    </row>
    <row r="15" spans="1:7" x14ac:dyDescent="0.2">
      <c r="A15" s="19" t="s">
        <v>136</v>
      </c>
      <c r="B15" s="19"/>
      <c r="C15" s="19"/>
      <c r="D15" s="6">
        <f>ROUND(((D12*((D13/220)*2)*4.5*4)+(D12*((D13/220)*2)*7.33*1)),2)</f>
        <v>27975.3</v>
      </c>
      <c r="E15" s="6" t="s">
        <v>39</v>
      </c>
      <c r="F15" s="6">
        <f>ROUND(((F12*((F13/220)*2)*4.5*4)+(F12*((F13/220)*2)*7.33*1)),2)</f>
        <v>23465.09</v>
      </c>
    </row>
    <row r="16" spans="1:7" x14ac:dyDescent="0.2">
      <c r="A16" s="18" t="s">
        <v>92</v>
      </c>
      <c r="B16" s="18"/>
      <c r="C16" s="18"/>
      <c r="D16" s="6">
        <f>ROUND(SUM(D14:D15),2)</f>
        <v>149462.97</v>
      </c>
      <c r="E16" s="6" t="s">
        <v>45</v>
      </c>
      <c r="F16" s="6">
        <f>ROUND(SUM(F14:F15),2)</f>
        <v>125366.39999999999</v>
      </c>
    </row>
    <row r="17" spans="1:7" x14ac:dyDescent="0.2">
      <c r="A17" s="19"/>
      <c r="B17" s="19"/>
      <c r="C17" s="19"/>
      <c r="D17" s="6"/>
      <c r="E17" s="6"/>
    </row>
    <row r="18" spans="1:7" x14ac:dyDescent="0.2">
      <c r="A18" s="19" t="s">
        <v>40</v>
      </c>
      <c r="B18" s="19"/>
      <c r="C18" s="19"/>
      <c r="D18" s="6">
        <v>1</v>
      </c>
      <c r="E18" s="6" t="s">
        <v>36</v>
      </c>
      <c r="F18" s="6">
        <v>1</v>
      </c>
    </row>
    <row r="19" spans="1:7" x14ac:dyDescent="0.2">
      <c r="A19" s="6" t="s">
        <v>41</v>
      </c>
      <c r="B19" s="6"/>
      <c r="C19" s="6"/>
      <c r="D19" s="6">
        <f>FISCAL!B29</f>
        <v>5047.53</v>
      </c>
      <c r="E19" s="6" t="s">
        <v>37</v>
      </c>
      <c r="F19" s="6">
        <f>+FISCAL!B57</f>
        <v>5674.2800000000007</v>
      </c>
    </row>
    <row r="20" spans="1:7" x14ac:dyDescent="0.2">
      <c r="A20" s="6" t="s">
        <v>42</v>
      </c>
      <c r="B20" s="6"/>
      <c r="C20" s="6"/>
      <c r="D20" s="6">
        <f>ROUND(+D19*D18,2)</f>
        <v>5047.53</v>
      </c>
      <c r="E20" s="6" t="s">
        <v>39</v>
      </c>
      <c r="F20" s="6">
        <f>ROUND(+F19*F18,2)</f>
        <v>5674.28</v>
      </c>
    </row>
    <row r="21" spans="1:7" x14ac:dyDescent="0.2">
      <c r="A21" s="19" t="s">
        <v>136</v>
      </c>
      <c r="B21" s="19"/>
      <c r="C21" s="19"/>
      <c r="D21" s="6">
        <f>ROUND(((1*((D19/220)*2)*4*4)+(1*((D19/220)*2)*4*1)),2)</f>
        <v>917.73</v>
      </c>
      <c r="E21" s="6" t="s">
        <v>39</v>
      </c>
      <c r="F21" s="6">
        <f>ROUND(((1*((F19/220)*2)*4*4)+(1*((F19/220)*2)*4*1)),2)</f>
        <v>1031.69</v>
      </c>
    </row>
    <row r="22" spans="1:7" x14ac:dyDescent="0.2">
      <c r="A22" s="6" t="s">
        <v>53</v>
      </c>
      <c r="B22" s="6"/>
      <c r="C22" s="6"/>
      <c r="D22" s="6">
        <f>ROUND(SUM(D20:D21),2)</f>
        <v>5965.26</v>
      </c>
      <c r="E22" s="6" t="s">
        <v>45</v>
      </c>
      <c r="F22" s="6">
        <f>ROUND(SUM(F20:F21),2)</f>
        <v>6705.97</v>
      </c>
    </row>
    <row r="23" spans="1:7" x14ac:dyDescent="0.2">
      <c r="A23" s="6"/>
      <c r="B23" s="6"/>
      <c r="C23" s="6"/>
      <c r="D23" s="6"/>
      <c r="E23" s="6"/>
      <c r="F23" s="60" t="s">
        <v>193</v>
      </c>
    </row>
    <row r="24" spans="1:7" x14ac:dyDescent="0.2">
      <c r="A24" s="19" t="s">
        <v>54</v>
      </c>
      <c r="B24" s="19"/>
      <c r="C24" s="19"/>
      <c r="D24" s="6">
        <v>10</v>
      </c>
      <c r="E24" s="6" t="s">
        <v>36</v>
      </c>
      <c r="F24" s="6">
        <v>8</v>
      </c>
      <c r="G24" s="6"/>
    </row>
    <row r="25" spans="1:7" x14ac:dyDescent="0.2">
      <c r="A25" s="19" t="s">
        <v>55</v>
      </c>
      <c r="B25" s="19"/>
      <c r="C25" s="19"/>
      <c r="D25" s="6">
        <f>MOTORISTA!B31</f>
        <v>5114.9084999999995</v>
      </c>
      <c r="E25" s="6" t="s">
        <v>37</v>
      </c>
      <c r="F25" s="6">
        <f>+MOTORISTA!B57</f>
        <v>5367.3369000000002</v>
      </c>
    </row>
    <row r="26" spans="1:7" x14ac:dyDescent="0.2">
      <c r="A26" s="19" t="s">
        <v>56</v>
      </c>
      <c r="B26" s="19"/>
      <c r="C26" s="19"/>
      <c r="D26" s="6">
        <f>ROUND(+D25*D24,2)</f>
        <v>51149.09</v>
      </c>
      <c r="E26" s="6" t="s">
        <v>39</v>
      </c>
      <c r="F26" s="6">
        <f>ROUND(+F25*F24,2)</f>
        <v>42938.7</v>
      </c>
    </row>
    <row r="27" spans="1:7" x14ac:dyDescent="0.2">
      <c r="A27" s="19" t="s">
        <v>136</v>
      </c>
      <c r="B27" s="19"/>
      <c r="C27" s="19"/>
      <c r="D27" s="6">
        <f>ROUND(((3*((D25/220)*2)*4.5*6)+(D24*((D25/220)*2)*7.33*1)),2)</f>
        <v>7174.82</v>
      </c>
      <c r="E27" s="6" t="s">
        <v>39</v>
      </c>
      <c r="F27" s="6">
        <f>ROUND(((3*((F25/220)*2)*4.5*6)+(F24*((F25/220)*2)*7.33*1)),2)</f>
        <v>6813.59</v>
      </c>
    </row>
    <row r="28" spans="1:7" x14ac:dyDescent="0.2">
      <c r="A28" s="18" t="s">
        <v>57</v>
      </c>
      <c r="B28" s="18"/>
      <c r="C28" s="18"/>
      <c r="D28" s="6">
        <f>ROUND(SUM(D26:D27),2)</f>
        <v>58323.91</v>
      </c>
      <c r="E28" s="6" t="s">
        <v>45</v>
      </c>
      <c r="F28" s="6">
        <f>ROUND(SUM(F26:F27),2)</f>
        <v>49752.29</v>
      </c>
    </row>
    <row r="29" spans="1:7" x14ac:dyDescent="0.2">
      <c r="A29" s="6"/>
      <c r="B29" s="6"/>
      <c r="C29" s="6"/>
      <c r="D29" s="6"/>
      <c r="E29" s="6"/>
      <c r="G29" s="6"/>
    </row>
    <row r="30" spans="1:7" x14ac:dyDescent="0.2">
      <c r="A30" s="20" t="s">
        <v>87</v>
      </c>
      <c r="B30" s="20"/>
      <c r="C30" s="20"/>
      <c r="D30" s="2">
        <f>ROUND(+D35+D38+F35+F38,2)+F40</f>
        <v>330424.14</v>
      </c>
      <c r="E30" s="6"/>
      <c r="F30" s="6"/>
      <c r="G30" s="6"/>
    </row>
    <row r="31" spans="1:7" x14ac:dyDescent="0.2">
      <c r="A31" s="20"/>
      <c r="B31" s="20"/>
      <c r="C31" s="20"/>
      <c r="D31" s="2"/>
      <c r="E31" s="6"/>
      <c r="F31" s="6"/>
      <c r="G31" s="6"/>
    </row>
    <row r="32" spans="1:7" x14ac:dyDescent="0.2">
      <c r="A32" s="19"/>
      <c r="B32" s="19"/>
      <c r="C32" s="19"/>
      <c r="D32" s="60" t="s">
        <v>192</v>
      </c>
      <c r="E32" s="60"/>
      <c r="F32" s="60" t="s">
        <v>193</v>
      </c>
      <c r="G32" s="6"/>
    </row>
    <row r="33" spans="1:7" x14ac:dyDescent="0.2">
      <c r="A33" s="18" t="s">
        <v>258</v>
      </c>
      <c r="B33" s="18"/>
      <c r="C33" s="18"/>
      <c r="D33" s="6">
        <v>7</v>
      </c>
      <c r="E33" s="6" t="s">
        <v>36</v>
      </c>
      <c r="F33" s="8">
        <v>3</v>
      </c>
      <c r="G33" s="6"/>
    </row>
    <row r="34" spans="1:7" x14ac:dyDescent="0.2">
      <c r="A34" s="6" t="s">
        <v>58</v>
      </c>
      <c r="B34" s="6"/>
      <c r="C34" s="6"/>
      <c r="D34" s="6">
        <f>'COMPACTADOR 15m³_OK'!B61</f>
        <v>21658.38257142857</v>
      </c>
      <c r="E34" s="6" t="s">
        <v>37</v>
      </c>
      <c r="F34" s="6">
        <f>+'COMPACTADOR 15m³_OK'!B63</f>
        <v>10292.049238095238</v>
      </c>
      <c r="G34" s="6"/>
    </row>
    <row r="35" spans="1:7" x14ac:dyDescent="0.2">
      <c r="A35" s="18" t="s">
        <v>93</v>
      </c>
      <c r="B35" s="18"/>
      <c r="C35" s="18"/>
      <c r="D35" s="2">
        <f>ROUND(D34*D33,2)</f>
        <v>151608.68</v>
      </c>
      <c r="E35" s="6" t="s">
        <v>39</v>
      </c>
      <c r="F35" s="2">
        <f>ROUND(F34*F33,2)</f>
        <v>30876.15</v>
      </c>
      <c r="G35" s="6"/>
    </row>
    <row r="36" spans="1:7" x14ac:dyDescent="0.2">
      <c r="A36" s="18" t="s">
        <v>262</v>
      </c>
      <c r="B36" s="18"/>
      <c r="C36" s="18"/>
      <c r="D36" s="8">
        <v>5</v>
      </c>
      <c r="E36" s="6"/>
      <c r="F36" s="6">
        <v>4</v>
      </c>
      <c r="G36" s="6"/>
    </row>
    <row r="37" spans="1:7" x14ac:dyDescent="0.2">
      <c r="A37" s="6" t="s">
        <v>58</v>
      </c>
      <c r="B37" s="18"/>
      <c r="C37" s="18"/>
      <c r="D37" s="6">
        <f>+'COMPACTADOR 19m³ '!B61</f>
        <v>20106.601500000001</v>
      </c>
      <c r="E37" s="6"/>
      <c r="F37" s="6">
        <f>+'COMPACTADOR 19m³ '!B63</f>
        <v>10049.074000000001</v>
      </c>
      <c r="G37" s="6"/>
    </row>
    <row r="38" spans="1:7" x14ac:dyDescent="0.2">
      <c r="A38" s="18" t="s">
        <v>93</v>
      </c>
      <c r="B38" s="18"/>
      <c r="C38" s="18"/>
      <c r="D38" s="2">
        <f>ROUND(D37*D36,2)</f>
        <v>100533.01</v>
      </c>
      <c r="E38" s="6"/>
      <c r="F38" s="2">
        <f>ROUND(F37*F36,2)</f>
        <v>40196.300000000003</v>
      </c>
      <c r="G38" s="6"/>
    </row>
    <row r="39" spans="1:7" x14ac:dyDescent="0.2">
      <c r="A39" s="18"/>
      <c r="B39" s="18"/>
      <c r="C39" s="18"/>
      <c r="D39" s="2"/>
      <c r="E39" s="6"/>
      <c r="F39" s="2"/>
      <c r="G39" s="6"/>
    </row>
    <row r="40" spans="1:7" x14ac:dyDescent="0.2">
      <c r="A40" s="18" t="s">
        <v>305</v>
      </c>
      <c r="B40" s="18"/>
      <c r="C40" s="18"/>
      <c r="D40" s="6"/>
      <c r="E40" s="6"/>
      <c r="F40" s="2">
        <v>7210</v>
      </c>
      <c r="G40" s="6"/>
    </row>
    <row r="41" spans="1:7" x14ac:dyDescent="0.2">
      <c r="A41" s="18"/>
      <c r="B41" s="18"/>
      <c r="C41" s="18"/>
      <c r="D41" s="6"/>
      <c r="E41" s="6"/>
      <c r="F41" s="6"/>
      <c r="G41" s="6"/>
    </row>
    <row r="42" spans="1:7" x14ac:dyDescent="0.2">
      <c r="A42" s="20" t="s">
        <v>156</v>
      </c>
      <c r="B42" s="20"/>
      <c r="C42" s="20"/>
      <c r="D42" s="21">
        <f>ROUND(D52+D54+D55,2)</f>
        <v>2175.25</v>
      </c>
      <c r="E42" s="6"/>
      <c r="F42" s="6"/>
      <c r="G42" s="1"/>
    </row>
    <row r="43" spans="1:7" x14ac:dyDescent="0.2">
      <c r="A43" s="20"/>
      <c r="B43" s="20"/>
      <c r="C43" s="20"/>
      <c r="D43" s="21"/>
      <c r="E43" s="6"/>
      <c r="F43" s="6"/>
      <c r="G43" s="1"/>
    </row>
    <row r="44" spans="1:7" x14ac:dyDescent="0.2">
      <c r="A44" s="22" t="s">
        <v>121</v>
      </c>
      <c r="B44" s="23">
        <f>20*4</f>
        <v>80</v>
      </c>
      <c r="C44" s="24" t="s">
        <v>122</v>
      </c>
      <c r="D44" s="6">
        <f>ROUND(B44*PREÇOS!C10,2)</f>
        <v>3040</v>
      </c>
      <c r="E44" s="6" t="s">
        <v>39</v>
      </c>
      <c r="F44" s="6"/>
      <c r="G44" s="6"/>
    </row>
    <row r="45" spans="1:7" x14ac:dyDescent="0.2">
      <c r="A45" s="6" t="s">
        <v>102</v>
      </c>
      <c r="B45" s="25">
        <f>+B44*2</f>
        <v>160</v>
      </c>
      <c r="C45" s="24" t="s">
        <v>122</v>
      </c>
      <c r="D45" s="6">
        <f>ROUND(B45*PREÇOS!C9,2)</f>
        <v>15200</v>
      </c>
      <c r="E45" s="6" t="s">
        <v>39</v>
      </c>
      <c r="F45" s="6"/>
      <c r="G45" s="6"/>
    </row>
    <row r="46" spans="1:7" x14ac:dyDescent="0.2">
      <c r="A46" s="6" t="s">
        <v>105</v>
      </c>
      <c r="B46" s="25">
        <f>20*12</f>
        <v>240</v>
      </c>
      <c r="C46" s="24" t="s">
        <v>122</v>
      </c>
      <c r="D46" s="6">
        <f>ROUND(B46*PREÇOS!C12,2)</f>
        <v>2160</v>
      </c>
      <c r="E46" s="6" t="s">
        <v>39</v>
      </c>
      <c r="F46" s="6"/>
      <c r="G46" s="6"/>
    </row>
    <row r="47" spans="1:7" x14ac:dyDescent="0.2">
      <c r="A47" s="6" t="s">
        <v>125</v>
      </c>
      <c r="B47" s="25">
        <f>+B44</f>
        <v>80</v>
      </c>
      <c r="C47" s="24" t="s">
        <v>122</v>
      </c>
      <c r="D47" s="6">
        <f>ROUND(B47*PREÇOS!C11,2)</f>
        <v>2320</v>
      </c>
      <c r="E47" s="6" t="s">
        <v>39</v>
      </c>
      <c r="F47" s="6"/>
      <c r="G47" s="6"/>
    </row>
    <row r="48" spans="1:7" x14ac:dyDescent="0.2">
      <c r="A48" s="6" t="s">
        <v>107</v>
      </c>
      <c r="B48" s="25">
        <v>20</v>
      </c>
      <c r="C48" s="24" t="s">
        <v>122</v>
      </c>
      <c r="D48" s="6">
        <f>ROUND(B48*PREÇOS!C16,2)</f>
        <v>700</v>
      </c>
      <c r="E48" s="6" t="s">
        <v>39</v>
      </c>
      <c r="F48" s="6"/>
      <c r="G48" s="6"/>
    </row>
    <row r="49" spans="1:7" x14ac:dyDescent="0.2">
      <c r="A49" s="6" t="s">
        <v>131</v>
      </c>
      <c r="B49" s="25">
        <f>+B44</f>
        <v>80</v>
      </c>
      <c r="C49" s="24" t="s">
        <v>122</v>
      </c>
      <c r="D49" s="6">
        <f>ROUND(B49*PREÇOS!C18,2)</f>
        <v>1440</v>
      </c>
      <c r="E49" s="6" t="s">
        <v>39</v>
      </c>
      <c r="F49" s="6"/>
      <c r="G49" s="6"/>
    </row>
    <row r="50" spans="1:7" x14ac:dyDescent="0.2">
      <c r="A50" s="6" t="s">
        <v>69</v>
      </c>
      <c r="B50" s="6"/>
      <c r="C50" s="6"/>
      <c r="D50" s="6">
        <f>ROUND(SUM(D44:D49),2)</f>
        <v>24860</v>
      </c>
      <c r="E50" s="6" t="s">
        <v>39</v>
      </c>
      <c r="F50" s="6"/>
      <c r="G50" s="6"/>
    </row>
    <row r="51" spans="1:7" x14ac:dyDescent="0.2">
      <c r="A51" s="6" t="s">
        <v>70</v>
      </c>
      <c r="B51" s="6"/>
      <c r="C51" s="6"/>
      <c r="D51" s="6">
        <v>12</v>
      </c>
      <c r="E51" s="6" t="s">
        <v>59</v>
      </c>
      <c r="F51" s="6"/>
      <c r="G51" s="6"/>
    </row>
    <row r="52" spans="1:7" x14ac:dyDescent="0.2">
      <c r="A52" s="6" t="s">
        <v>60</v>
      </c>
      <c r="B52" s="6"/>
      <c r="C52" s="6"/>
      <c r="D52" s="6">
        <f>ROUND(+D50/+D51,2)</f>
        <v>2071.67</v>
      </c>
      <c r="E52" s="6" t="s">
        <v>71</v>
      </c>
      <c r="F52" s="6"/>
      <c r="G52" s="6"/>
    </row>
    <row r="53" spans="1:7" x14ac:dyDescent="0.2">
      <c r="A53" s="6" t="s">
        <v>72</v>
      </c>
      <c r="B53" s="6"/>
      <c r="C53" s="6"/>
      <c r="D53" s="26">
        <v>0.05</v>
      </c>
      <c r="E53" s="6"/>
      <c r="F53" s="6"/>
      <c r="G53" s="6"/>
    </row>
    <row r="54" spans="1:7" x14ac:dyDescent="0.2">
      <c r="A54" s="6" t="s">
        <v>61</v>
      </c>
      <c r="B54" s="6"/>
      <c r="C54" s="6"/>
      <c r="D54" s="6">
        <f>ROUND(D53*D52,2)</f>
        <v>103.58</v>
      </c>
      <c r="E54" s="6" t="s">
        <v>71</v>
      </c>
      <c r="F54" s="6"/>
      <c r="G54" s="6"/>
    </row>
    <row r="55" spans="1:7" x14ac:dyDescent="0.2">
      <c r="A55" s="6"/>
      <c r="B55" s="25"/>
      <c r="C55" s="24"/>
      <c r="D55" s="6"/>
      <c r="E55" s="6"/>
      <c r="F55" s="6"/>
      <c r="G55" s="6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28" t="s">
        <v>63</v>
      </c>
      <c r="B57" s="28"/>
      <c r="C57" s="28"/>
      <c r="D57" s="6"/>
      <c r="E57" s="6"/>
      <c r="F57" s="6"/>
      <c r="G57" s="6"/>
    </row>
    <row r="58" spans="1:7" x14ac:dyDescent="0.2">
      <c r="A58" s="6" t="s">
        <v>68</v>
      </c>
      <c r="B58" s="6"/>
      <c r="C58" s="6"/>
      <c r="D58" s="6">
        <f>+D10</f>
        <v>395576.8</v>
      </c>
      <c r="E58" s="6" t="s">
        <v>39</v>
      </c>
      <c r="F58" s="6"/>
      <c r="G58" s="6"/>
    </row>
    <row r="59" spans="1:7" x14ac:dyDescent="0.2">
      <c r="A59" s="6" t="s">
        <v>62</v>
      </c>
      <c r="B59" s="6"/>
      <c r="C59" s="6"/>
      <c r="D59" s="6">
        <f>+D30</f>
        <v>330424.14</v>
      </c>
      <c r="E59" s="6" t="s">
        <v>39</v>
      </c>
      <c r="F59" s="6"/>
      <c r="G59" s="6"/>
    </row>
    <row r="60" spans="1:7" x14ac:dyDescent="0.2">
      <c r="A60" s="6" t="s">
        <v>64</v>
      </c>
      <c r="B60" s="6"/>
      <c r="C60" s="6"/>
      <c r="D60" s="6">
        <f>D42</f>
        <v>2175.25</v>
      </c>
      <c r="E60" s="6" t="s">
        <v>39</v>
      </c>
      <c r="F60" s="6"/>
      <c r="G60" s="6"/>
    </row>
    <row r="61" spans="1:7" x14ac:dyDescent="0.2">
      <c r="A61" s="6" t="s">
        <v>46</v>
      </c>
      <c r="B61" s="6"/>
      <c r="C61" s="6"/>
      <c r="D61" s="6">
        <f>SUM(D58:D60)</f>
        <v>728176.19</v>
      </c>
      <c r="E61" s="6" t="s">
        <v>39</v>
      </c>
      <c r="F61" s="6"/>
      <c r="G61" s="6"/>
    </row>
    <row r="62" spans="1:7" x14ac:dyDescent="0.2">
      <c r="A62" s="6"/>
      <c r="B62" s="6"/>
      <c r="C62" s="6"/>
      <c r="D62" s="6" t="s">
        <v>8</v>
      </c>
      <c r="E62" s="6"/>
      <c r="F62" s="6"/>
      <c r="G62" s="6"/>
    </row>
    <row r="63" spans="1:7" x14ac:dyDescent="0.2">
      <c r="A63" s="20" t="s">
        <v>65</v>
      </c>
      <c r="B63" s="20"/>
      <c r="C63" s="20"/>
      <c r="D63" s="6" t="s">
        <v>8</v>
      </c>
      <c r="E63" s="6"/>
      <c r="F63" s="6"/>
      <c r="G63" s="6"/>
    </row>
    <row r="64" spans="1:7" x14ac:dyDescent="0.2">
      <c r="A64" s="19" t="s">
        <v>157</v>
      </c>
      <c r="B64" s="19"/>
      <c r="C64" s="19"/>
      <c r="D64" s="9"/>
      <c r="E64" s="6" t="s">
        <v>8</v>
      </c>
      <c r="F64" s="27">
        <v>0</v>
      </c>
      <c r="G64" s="100"/>
    </row>
    <row r="65" spans="1:8" x14ac:dyDescent="0.2">
      <c r="A65" s="6"/>
      <c r="B65" s="6"/>
      <c r="C65" s="6"/>
      <c r="D65" s="6"/>
      <c r="E65" s="6"/>
      <c r="F65" s="27"/>
      <c r="G65" s="6"/>
    </row>
    <row r="66" spans="1:8" x14ac:dyDescent="0.2">
      <c r="A66" s="16" t="s">
        <v>205</v>
      </c>
      <c r="B66" s="6"/>
      <c r="C66" s="6"/>
      <c r="D66" s="6"/>
      <c r="E66" s="6"/>
      <c r="F66" s="27"/>
      <c r="G66" s="6"/>
    </row>
    <row r="67" spans="1:8" x14ac:dyDescent="0.2">
      <c r="A67" s="6" t="s">
        <v>48</v>
      </c>
      <c r="B67" s="6"/>
      <c r="C67" s="6"/>
      <c r="D67" s="29">
        <v>0.15</v>
      </c>
      <c r="E67" s="6" t="s">
        <v>8</v>
      </c>
      <c r="F67" s="27">
        <f>ROUND((+D61+F64)*D67,2)</f>
        <v>109226.43</v>
      </c>
      <c r="G67" s="6"/>
      <c r="H67" s="81"/>
    </row>
    <row r="68" spans="1:8" x14ac:dyDescent="0.2">
      <c r="A68" s="6"/>
      <c r="B68" s="6"/>
      <c r="C68" s="6"/>
      <c r="D68" s="6"/>
      <c r="E68" s="6"/>
      <c r="F68" s="27"/>
      <c r="G68" s="6"/>
      <c r="H68" s="81"/>
    </row>
    <row r="69" spans="1:8" x14ac:dyDescent="0.2">
      <c r="A69" s="20" t="s">
        <v>66</v>
      </c>
      <c r="B69" s="20"/>
      <c r="C69" s="20"/>
      <c r="D69" s="6"/>
      <c r="E69" s="6"/>
      <c r="F69" s="27">
        <f>ROUND(+F67+F64+D61,2)</f>
        <v>837402.62</v>
      </c>
      <c r="G69" s="6"/>
    </row>
    <row r="70" spans="1:8" x14ac:dyDescent="0.2">
      <c r="A70" s="6"/>
      <c r="B70" s="6"/>
      <c r="C70" s="6"/>
      <c r="D70" s="6"/>
      <c r="E70" s="6"/>
      <c r="F70" s="27"/>
      <c r="G70" s="6"/>
    </row>
    <row r="71" spans="1:8" x14ac:dyDescent="0.2">
      <c r="A71" s="20" t="s">
        <v>204</v>
      </c>
      <c r="B71" s="6"/>
      <c r="C71" s="6"/>
      <c r="D71" s="6"/>
      <c r="E71" s="6"/>
      <c r="F71" s="27"/>
      <c r="G71" s="6"/>
    </row>
    <row r="72" spans="1:8" x14ac:dyDescent="0.2">
      <c r="A72" s="6" t="s">
        <v>48</v>
      </c>
      <c r="B72" s="6"/>
      <c r="C72" s="6"/>
      <c r="D72" s="9">
        <v>0.14249999999999999</v>
      </c>
      <c r="E72" s="6" t="s">
        <v>8</v>
      </c>
      <c r="F72" s="6">
        <f>+F69/0.8575</f>
        <v>976562.8221574343</v>
      </c>
      <c r="G72" s="6"/>
    </row>
    <row r="73" spans="1:8" x14ac:dyDescent="0.2">
      <c r="A73" s="6"/>
      <c r="B73" s="6"/>
      <c r="C73" s="6"/>
      <c r="D73" s="6"/>
      <c r="E73" s="6"/>
      <c r="F73" s="6"/>
      <c r="G73" s="6"/>
    </row>
    <row r="74" spans="1:8" ht="13.7" customHeight="1" x14ac:dyDescent="0.2">
      <c r="A74" s="61" t="s">
        <v>67</v>
      </c>
      <c r="B74" s="61"/>
      <c r="C74" s="61"/>
      <c r="D74" s="2"/>
      <c r="E74" s="2"/>
      <c r="F74" s="6"/>
      <c r="G74" s="6"/>
    </row>
    <row r="75" spans="1:8" ht="12.75" customHeight="1" x14ac:dyDescent="0.2">
      <c r="A75" s="31" t="s">
        <v>49</v>
      </c>
      <c r="B75" s="31"/>
      <c r="C75" s="31"/>
      <c r="D75" s="2">
        <f>+F72</f>
        <v>976562.8221574343</v>
      </c>
      <c r="E75" s="2" t="s">
        <v>39</v>
      </c>
      <c r="F75" s="6"/>
      <c r="G75" s="6"/>
    </row>
    <row r="76" spans="1:8" ht="12.75" customHeight="1" x14ac:dyDescent="0.2">
      <c r="A76" s="2" t="s">
        <v>50</v>
      </c>
      <c r="B76" s="2"/>
      <c r="C76" s="2"/>
      <c r="D76" s="2">
        <v>5150</v>
      </c>
      <c r="E76" s="2"/>
      <c r="F76" s="6"/>
      <c r="G76" s="6"/>
    </row>
    <row r="77" spans="1:8" ht="14.65" customHeight="1" x14ac:dyDescent="0.2">
      <c r="A77" s="2" t="s">
        <v>51</v>
      </c>
      <c r="B77" s="2"/>
      <c r="C77" s="2"/>
      <c r="D77" s="2">
        <f>ROUND(D75/D76,2)</f>
        <v>189.62</v>
      </c>
      <c r="E77" s="31" t="s">
        <v>188</v>
      </c>
      <c r="F77" s="1"/>
      <c r="G77" s="6"/>
    </row>
    <row r="78" spans="1:8" x14ac:dyDescent="0.2">
      <c r="A78" s="6"/>
      <c r="B78" s="6"/>
      <c r="C78" s="6"/>
      <c r="D78" s="6"/>
      <c r="E78" s="6"/>
      <c r="F78" s="6"/>
      <c r="G78" s="6"/>
    </row>
    <row r="79" spans="1:8" x14ac:dyDescent="0.2">
      <c r="A79" s="37"/>
      <c r="B79" s="37"/>
      <c r="C79" s="37"/>
      <c r="G79" s="6"/>
    </row>
    <row r="80" spans="1:8" x14ac:dyDescent="0.2">
      <c r="G80" s="6"/>
    </row>
    <row r="81" spans="7:7" x14ac:dyDescent="0.2">
      <c r="G81" s="6"/>
    </row>
  </sheetData>
  <phoneticPr fontId="0" type="noConversion"/>
  <pageMargins left="0.39370078740157483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2"/>
  <sheetViews>
    <sheetView topLeftCell="A41" workbookViewId="0">
      <selection activeCell="D55" sqref="D55"/>
    </sheetView>
  </sheetViews>
  <sheetFormatPr defaultColWidth="12" defaultRowHeight="12.75" x14ac:dyDescent="0.2"/>
  <cols>
    <col min="1" max="1" width="43.33203125" style="13" customWidth="1"/>
    <col min="2" max="3" width="7.83203125" style="13" customWidth="1"/>
    <col min="4" max="4" width="16.6640625" style="13" customWidth="1"/>
    <col min="5" max="5" width="12" style="13" bestFit="1" customWidth="1"/>
    <col min="6" max="6" width="16.6640625" style="13" customWidth="1"/>
    <col min="7" max="7" width="9.5" style="13" bestFit="1" customWidth="1"/>
    <col min="8" max="16384" width="12" style="1"/>
  </cols>
  <sheetData>
    <row r="1" spans="1:7" ht="18" x14ac:dyDescent="0.25">
      <c r="A1" s="10" t="s">
        <v>211</v>
      </c>
      <c r="B1" s="14"/>
      <c r="C1" s="14"/>
      <c r="D1" s="14"/>
      <c r="E1" s="14"/>
      <c r="F1" s="14"/>
      <c r="G1" s="14"/>
    </row>
    <row r="2" spans="1:7" ht="18" x14ac:dyDescent="0.25">
      <c r="A2" s="11"/>
      <c r="B2" s="14"/>
      <c r="C2" s="14"/>
      <c r="D2" s="14"/>
      <c r="E2" s="14"/>
      <c r="F2" s="14"/>
      <c r="G2" s="14"/>
    </row>
    <row r="3" spans="1:7" x14ac:dyDescent="0.2">
      <c r="B3" s="14"/>
      <c r="C3" s="14"/>
      <c r="D3" s="14"/>
      <c r="E3" s="14"/>
      <c r="F3" s="14"/>
      <c r="G3" s="14"/>
    </row>
    <row r="4" spans="1:7" x14ac:dyDescent="0.2">
      <c r="A4" s="12"/>
      <c r="B4" s="14"/>
      <c r="C4" s="14"/>
      <c r="D4" s="14"/>
      <c r="E4" s="14"/>
      <c r="F4" s="14"/>
      <c r="G4" s="14"/>
    </row>
    <row r="5" spans="1:7" x14ac:dyDescent="0.2">
      <c r="A5" s="1"/>
      <c r="B5" s="14"/>
      <c r="C5" s="14"/>
      <c r="D5" s="14"/>
      <c r="E5" s="14"/>
      <c r="F5" s="14"/>
      <c r="G5" s="14"/>
    </row>
    <row r="6" spans="1:7" x14ac:dyDescent="0.2">
      <c r="A6" s="14" t="s">
        <v>0</v>
      </c>
      <c r="B6" s="6"/>
      <c r="C6" s="6"/>
      <c r="D6" s="6"/>
      <c r="E6" s="6"/>
      <c r="F6" s="6"/>
      <c r="G6" s="6"/>
    </row>
    <row r="7" spans="1:7" x14ac:dyDescent="0.2">
      <c r="B7" s="15"/>
      <c r="C7" s="15"/>
      <c r="D7" s="2"/>
      <c r="E7" s="2"/>
      <c r="F7" s="2"/>
      <c r="G7" s="2"/>
    </row>
    <row r="8" spans="1:7" x14ac:dyDescent="0.2">
      <c r="A8" s="15" t="s">
        <v>234</v>
      </c>
      <c r="B8" s="15"/>
      <c r="C8" s="15"/>
      <c r="D8" s="2"/>
      <c r="E8" s="2"/>
      <c r="F8" s="2"/>
      <c r="G8" s="2"/>
    </row>
    <row r="9" spans="1:7" x14ac:dyDescent="0.2">
      <c r="A9" s="15"/>
      <c r="B9" s="15"/>
      <c r="C9" s="15"/>
      <c r="D9" s="2"/>
      <c r="E9" s="2"/>
      <c r="F9" s="2"/>
      <c r="G9" s="2"/>
    </row>
    <row r="10" spans="1:7" x14ac:dyDescent="0.2">
      <c r="A10" s="16" t="s">
        <v>35</v>
      </c>
      <c r="B10" s="16"/>
      <c r="C10" s="16"/>
      <c r="D10" s="2">
        <f>+D15+D20+D25+F15+F20+F25</f>
        <v>51052.816260000007</v>
      </c>
      <c r="E10" s="6"/>
    </row>
    <row r="11" spans="1:7" x14ac:dyDescent="0.2">
      <c r="A11" s="6"/>
      <c r="B11" s="6"/>
      <c r="C11" s="6"/>
      <c r="D11" s="17" t="s">
        <v>197</v>
      </c>
      <c r="E11" s="6"/>
    </row>
    <row r="12" spans="1:7" x14ac:dyDescent="0.2">
      <c r="A12" s="18" t="s">
        <v>88</v>
      </c>
      <c r="B12" s="18"/>
      <c r="C12" s="18"/>
      <c r="D12" s="36">
        <v>9</v>
      </c>
      <c r="E12" s="6" t="s">
        <v>36</v>
      </c>
      <c r="F12" s="6">
        <v>0</v>
      </c>
      <c r="G12" s="6"/>
    </row>
    <row r="13" spans="1:7" x14ac:dyDescent="0.2">
      <c r="A13" s="19" t="s">
        <v>52</v>
      </c>
      <c r="B13" s="19"/>
      <c r="C13" s="19"/>
      <c r="D13" s="6">
        <f>+COLETOR!B27</f>
        <v>3918.9569400000005</v>
      </c>
      <c r="E13" s="19" t="s">
        <v>37</v>
      </c>
      <c r="F13" s="6">
        <f>+COLETOR!B85</f>
        <v>0</v>
      </c>
      <c r="G13" s="19"/>
    </row>
    <row r="14" spans="1:7" x14ac:dyDescent="0.2">
      <c r="A14" s="18" t="s">
        <v>43</v>
      </c>
      <c r="B14" s="18"/>
      <c r="C14" s="18"/>
      <c r="D14" s="6">
        <f>+D13*D12</f>
        <v>35270.612460000004</v>
      </c>
      <c r="E14" s="6" t="s">
        <v>39</v>
      </c>
      <c r="F14" s="6">
        <f>ROUND(+F13*F12,2)</f>
        <v>0</v>
      </c>
      <c r="G14" s="6"/>
    </row>
    <row r="15" spans="1:7" ht="35.25" customHeight="1" x14ac:dyDescent="0.2">
      <c r="A15" s="18" t="s">
        <v>198</v>
      </c>
      <c r="B15" s="18"/>
      <c r="C15" s="18"/>
      <c r="D15" s="6">
        <f>D14</f>
        <v>35270.612460000004</v>
      </c>
      <c r="E15" s="6" t="s">
        <v>45</v>
      </c>
      <c r="F15" s="6">
        <f>ROUND(SUM(F14:F14),2)</f>
        <v>0</v>
      </c>
      <c r="G15" s="6"/>
    </row>
    <row r="16" spans="1:7" x14ac:dyDescent="0.2">
      <c r="A16" s="19"/>
      <c r="B16" s="19"/>
      <c r="C16" s="19"/>
      <c r="D16" s="6"/>
      <c r="E16" s="6"/>
    </row>
    <row r="17" spans="1:7" x14ac:dyDescent="0.2">
      <c r="A17" s="19" t="s">
        <v>40</v>
      </c>
      <c r="B17" s="19"/>
      <c r="C17" s="19"/>
      <c r="D17" s="6">
        <v>1</v>
      </c>
      <c r="E17" s="6" t="s">
        <v>36</v>
      </c>
      <c r="F17" s="6"/>
    </row>
    <row r="18" spans="1:7" x14ac:dyDescent="0.2">
      <c r="A18" s="6" t="s">
        <v>41</v>
      </c>
      <c r="B18" s="6"/>
      <c r="C18" s="6"/>
      <c r="D18" s="6">
        <f>+FISCAL!B29</f>
        <v>5047.53</v>
      </c>
      <c r="E18" s="6" t="s">
        <v>37</v>
      </c>
      <c r="F18" s="6"/>
    </row>
    <row r="19" spans="1:7" x14ac:dyDescent="0.2">
      <c r="A19" s="18" t="s">
        <v>43</v>
      </c>
      <c r="B19" s="18"/>
      <c r="C19" s="18"/>
      <c r="D19" s="6">
        <f>+D18*D17</f>
        <v>5047.53</v>
      </c>
      <c r="E19" s="6" t="s">
        <v>39</v>
      </c>
      <c r="F19" s="6"/>
    </row>
    <row r="20" spans="1:7" x14ac:dyDescent="0.2">
      <c r="A20" s="6" t="s">
        <v>53</v>
      </c>
      <c r="B20" s="6"/>
      <c r="C20" s="6"/>
      <c r="D20" s="6">
        <f>D19</f>
        <v>5047.53</v>
      </c>
      <c r="E20" s="6" t="s">
        <v>45</v>
      </c>
      <c r="F20" s="6"/>
    </row>
    <row r="21" spans="1:7" x14ac:dyDescent="0.2">
      <c r="A21" s="6"/>
      <c r="B21" s="6"/>
      <c r="C21" s="6"/>
      <c r="D21" s="6"/>
      <c r="E21" s="6"/>
      <c r="F21" s="6"/>
    </row>
    <row r="22" spans="1:7" x14ac:dyDescent="0.2">
      <c r="A22" s="19" t="s">
        <v>54</v>
      </c>
      <c r="B22" s="19"/>
      <c r="C22" s="19"/>
      <c r="D22" s="6">
        <v>2</v>
      </c>
      <c r="E22" s="6" t="s">
        <v>36</v>
      </c>
      <c r="F22" s="6">
        <v>0</v>
      </c>
      <c r="G22" s="6"/>
    </row>
    <row r="23" spans="1:7" x14ac:dyDescent="0.2">
      <c r="A23" s="19" t="s">
        <v>55</v>
      </c>
      <c r="B23" s="19"/>
      <c r="C23" s="19"/>
      <c r="D23" s="6">
        <f>+MOTORISTA!B31</f>
        <v>5114.9084999999995</v>
      </c>
      <c r="E23" s="6" t="s">
        <v>37</v>
      </c>
      <c r="F23" s="6">
        <f>+MOTORISTA!B57</f>
        <v>5367.3369000000002</v>
      </c>
      <c r="G23" s="6"/>
    </row>
    <row r="24" spans="1:7" x14ac:dyDescent="0.2">
      <c r="A24" s="18" t="s">
        <v>43</v>
      </c>
      <c r="B24" s="18"/>
      <c r="C24" s="18"/>
      <c r="D24" s="6">
        <f>+F23*D22</f>
        <v>10734.6738</v>
      </c>
      <c r="E24" s="6" t="s">
        <v>39</v>
      </c>
      <c r="F24" s="6">
        <f>ROUND(+D23*F22,2)</f>
        <v>0</v>
      </c>
      <c r="G24" s="6"/>
    </row>
    <row r="25" spans="1:7" x14ac:dyDescent="0.2">
      <c r="A25" s="18" t="s">
        <v>57</v>
      </c>
      <c r="B25" s="18"/>
      <c r="C25" s="18"/>
      <c r="D25" s="6">
        <f>D24</f>
        <v>10734.6738</v>
      </c>
      <c r="E25" s="6" t="s">
        <v>45</v>
      </c>
      <c r="F25" s="6">
        <f>+F24</f>
        <v>0</v>
      </c>
      <c r="G25" s="6"/>
    </row>
    <row r="26" spans="1:7" x14ac:dyDescent="0.2">
      <c r="A26" s="6"/>
      <c r="B26" s="6"/>
      <c r="C26" s="6"/>
      <c r="D26" s="6"/>
      <c r="E26" s="6"/>
    </row>
    <row r="27" spans="1:7" x14ac:dyDescent="0.2">
      <c r="A27" s="20" t="s">
        <v>87</v>
      </c>
      <c r="B27" s="20"/>
      <c r="C27" s="20"/>
      <c r="D27" s="6">
        <f>D31+F31</f>
        <v>21686.508833333333</v>
      </c>
      <c r="E27" s="6"/>
    </row>
    <row r="28" spans="1:7" x14ac:dyDescent="0.2">
      <c r="A28" s="6"/>
      <c r="B28" s="6"/>
      <c r="C28" s="6"/>
      <c r="D28" s="6"/>
      <c r="E28" s="6"/>
      <c r="F28" s="17" t="s">
        <v>199</v>
      </c>
      <c r="G28" s="6"/>
    </row>
    <row r="29" spans="1:7" x14ac:dyDescent="0.2">
      <c r="A29" s="18" t="s">
        <v>216</v>
      </c>
      <c r="B29" s="18"/>
      <c r="C29" s="18"/>
      <c r="D29" s="6">
        <f>2</f>
        <v>2</v>
      </c>
      <c r="E29" s="6" t="s">
        <v>36</v>
      </c>
      <c r="F29" s="6">
        <v>0</v>
      </c>
      <c r="G29" s="6"/>
    </row>
    <row r="30" spans="1:7" x14ac:dyDescent="0.2">
      <c r="A30" s="6" t="s">
        <v>209</v>
      </c>
      <c r="B30" s="6"/>
      <c r="C30" s="6"/>
      <c r="D30" s="6">
        <f>BAÚ!B61</f>
        <v>10843.254416666667</v>
      </c>
      <c r="E30" s="6" t="s">
        <v>37</v>
      </c>
      <c r="F30" s="6">
        <v>0</v>
      </c>
    </row>
    <row r="31" spans="1:7" x14ac:dyDescent="0.2">
      <c r="A31" s="19" t="s">
        <v>210</v>
      </c>
      <c r="B31" s="19"/>
      <c r="C31" s="19"/>
      <c r="D31" s="6">
        <f>+D30*D29</f>
        <v>21686.508833333333</v>
      </c>
      <c r="E31" s="6" t="s">
        <v>39</v>
      </c>
      <c r="F31" s="6">
        <f>ROUND(F30*F29,2)</f>
        <v>0</v>
      </c>
      <c r="G31" s="6"/>
    </row>
    <row r="32" spans="1:7" x14ac:dyDescent="0.2">
      <c r="A32" s="6"/>
      <c r="B32" s="6"/>
      <c r="C32" s="6"/>
      <c r="D32" s="6"/>
      <c r="E32" s="6"/>
      <c r="F32" s="6"/>
      <c r="G32" s="6"/>
    </row>
    <row r="33" spans="1:7" x14ac:dyDescent="0.2">
      <c r="A33" s="20" t="s">
        <v>84</v>
      </c>
      <c r="B33" s="20"/>
      <c r="C33" s="20"/>
      <c r="D33" s="21">
        <f>D44+D46</f>
        <v>34.166666666666671</v>
      </c>
      <c r="E33" s="6"/>
      <c r="F33" s="6"/>
      <c r="G33" s="1"/>
    </row>
    <row r="34" spans="1:7" x14ac:dyDescent="0.2">
      <c r="A34" s="20"/>
      <c r="B34" s="20"/>
      <c r="C34" s="20"/>
      <c r="D34" s="21"/>
      <c r="E34" s="6"/>
      <c r="F34" s="6"/>
      <c r="G34" s="1"/>
    </row>
    <row r="35" spans="1:7" x14ac:dyDescent="0.2">
      <c r="A35" s="22" t="s">
        <v>200</v>
      </c>
      <c r="B35" s="23">
        <f>1*4</f>
        <v>4</v>
      </c>
      <c r="C35" s="24" t="s">
        <v>122</v>
      </c>
      <c r="D35" s="6">
        <f>B35*PREÇOS!C10</f>
        <v>152</v>
      </c>
      <c r="E35" s="6" t="s">
        <v>39</v>
      </c>
      <c r="F35" s="23"/>
      <c r="G35" s="6"/>
    </row>
    <row r="36" spans="1:7" x14ac:dyDescent="0.2">
      <c r="A36" s="6" t="s">
        <v>123</v>
      </c>
      <c r="B36" s="25">
        <v>0</v>
      </c>
      <c r="C36" s="24" t="s">
        <v>122</v>
      </c>
      <c r="D36" s="6">
        <f>B36*PREÇOS!C9</f>
        <v>0</v>
      </c>
      <c r="E36" s="6" t="s">
        <v>39</v>
      </c>
      <c r="F36" s="25"/>
      <c r="G36" s="6"/>
    </row>
    <row r="37" spans="1:7" x14ac:dyDescent="0.2">
      <c r="A37" s="6" t="s">
        <v>124</v>
      </c>
      <c r="B37" s="25">
        <f>1*12</f>
        <v>12</v>
      </c>
      <c r="C37" s="24" t="s">
        <v>122</v>
      </c>
      <c r="D37" s="6">
        <f>+B37*PREÇOS!C12</f>
        <v>108</v>
      </c>
      <c r="E37" s="6" t="s">
        <v>39</v>
      </c>
      <c r="F37" s="25"/>
      <c r="G37" s="6"/>
    </row>
    <row r="38" spans="1:7" x14ac:dyDescent="0.2">
      <c r="A38" s="6" t="s">
        <v>125</v>
      </c>
      <c r="B38" s="25">
        <v>0</v>
      </c>
      <c r="C38" s="24" t="s">
        <v>122</v>
      </c>
      <c r="D38" s="6">
        <f>+B38*PREÇOS!C11</f>
        <v>0</v>
      </c>
      <c r="E38" s="6" t="s">
        <v>39</v>
      </c>
      <c r="F38" s="25"/>
      <c r="G38" s="6"/>
    </row>
    <row r="39" spans="1:7" x14ac:dyDescent="0.2">
      <c r="A39" s="6" t="s">
        <v>126</v>
      </c>
      <c r="B39" s="25">
        <f>+B38</f>
        <v>0</v>
      </c>
      <c r="C39" s="24" t="s">
        <v>122</v>
      </c>
      <c r="D39" s="6">
        <f>B39*PREÇOS!C13</f>
        <v>0</v>
      </c>
      <c r="E39" s="6" t="s">
        <v>39</v>
      </c>
      <c r="F39" s="25"/>
      <c r="G39" s="6"/>
    </row>
    <row r="40" spans="1:7" x14ac:dyDescent="0.2">
      <c r="A40" s="6" t="s">
        <v>201</v>
      </c>
      <c r="B40" s="25">
        <v>4</v>
      </c>
      <c r="C40" s="24" t="s">
        <v>122</v>
      </c>
      <c r="D40" s="6">
        <f>B40*PREÇOS!C16</f>
        <v>140</v>
      </c>
      <c r="E40" s="6" t="s">
        <v>39</v>
      </c>
      <c r="F40" s="25"/>
      <c r="G40" s="6"/>
    </row>
    <row r="41" spans="1:7" x14ac:dyDescent="0.2">
      <c r="A41" s="6" t="s">
        <v>109</v>
      </c>
      <c r="B41" s="25">
        <f>+B39</f>
        <v>0</v>
      </c>
      <c r="C41" s="24" t="s">
        <v>122</v>
      </c>
      <c r="D41" s="6">
        <f>+B41*PREÇOS!C18</f>
        <v>0</v>
      </c>
      <c r="E41" s="6" t="s">
        <v>39</v>
      </c>
      <c r="F41" s="25"/>
      <c r="G41" s="6"/>
    </row>
    <row r="42" spans="1:7" x14ac:dyDescent="0.2">
      <c r="A42" s="6" t="s">
        <v>69</v>
      </c>
      <c r="B42" s="6"/>
      <c r="C42" s="6"/>
      <c r="D42" s="6">
        <f>SUM(D35:D41)</f>
        <v>400</v>
      </c>
      <c r="E42" s="6" t="s">
        <v>39</v>
      </c>
      <c r="F42" s="6"/>
      <c r="G42" s="6"/>
    </row>
    <row r="43" spans="1:7" x14ac:dyDescent="0.2">
      <c r="A43" s="6" t="s">
        <v>70</v>
      </c>
      <c r="B43" s="6"/>
      <c r="C43" s="6"/>
      <c r="D43" s="6">
        <v>12</v>
      </c>
      <c r="E43" s="6" t="s">
        <v>59</v>
      </c>
      <c r="F43" s="6"/>
      <c r="G43" s="6"/>
    </row>
    <row r="44" spans="1:7" x14ac:dyDescent="0.2">
      <c r="A44" s="6" t="s">
        <v>60</v>
      </c>
      <c r="B44" s="6"/>
      <c r="C44" s="6"/>
      <c r="D44" s="6">
        <f>+D42/+D43</f>
        <v>33.333333333333336</v>
      </c>
      <c r="E44" s="6" t="s">
        <v>71</v>
      </c>
      <c r="F44" s="6"/>
      <c r="G44" s="6"/>
    </row>
    <row r="45" spans="1:7" x14ac:dyDescent="0.2">
      <c r="A45" s="6" t="s">
        <v>72</v>
      </c>
      <c r="B45" s="6"/>
      <c r="C45" s="6"/>
      <c r="D45" s="26">
        <v>2.5000000000000001E-2</v>
      </c>
      <c r="E45" s="6"/>
      <c r="F45" s="6"/>
      <c r="G45" s="6"/>
    </row>
    <row r="46" spans="1:7" x14ac:dyDescent="0.2">
      <c r="A46" s="6" t="s">
        <v>61</v>
      </c>
      <c r="B46" s="6"/>
      <c r="C46" s="6"/>
      <c r="D46" s="6">
        <f>D45*D44</f>
        <v>0.83333333333333348</v>
      </c>
      <c r="E46" s="6" t="s">
        <v>71</v>
      </c>
      <c r="F46" s="6"/>
      <c r="G46" s="6"/>
    </row>
    <row r="47" spans="1:7" x14ac:dyDescent="0.2">
      <c r="A47" s="6"/>
      <c r="B47" s="6"/>
      <c r="C47" s="6"/>
      <c r="D47" s="6"/>
      <c r="E47" s="6"/>
      <c r="F47" s="6"/>
      <c r="G47" s="6"/>
    </row>
    <row r="48" spans="1:7" x14ac:dyDescent="0.2">
      <c r="A48" s="20" t="s">
        <v>63</v>
      </c>
      <c r="B48" s="20"/>
      <c r="C48" s="20"/>
      <c r="D48" s="6"/>
      <c r="E48" s="6"/>
      <c r="F48" s="6"/>
      <c r="G48" s="6"/>
    </row>
    <row r="49" spans="1:7" x14ac:dyDescent="0.2">
      <c r="A49" s="6" t="s">
        <v>68</v>
      </c>
      <c r="B49" s="6"/>
      <c r="C49" s="6"/>
      <c r="D49" s="6">
        <f>+D10</f>
        <v>51052.816260000007</v>
      </c>
      <c r="E49" s="6" t="s">
        <v>39</v>
      </c>
      <c r="F49" s="6"/>
      <c r="G49" s="6"/>
    </row>
    <row r="50" spans="1:7" x14ac:dyDescent="0.2">
      <c r="A50" s="6" t="s">
        <v>62</v>
      </c>
      <c r="B50" s="6"/>
      <c r="C50" s="6"/>
      <c r="D50" s="6">
        <f>+D27</f>
        <v>21686.508833333333</v>
      </c>
      <c r="E50" s="6" t="s">
        <v>39</v>
      </c>
      <c r="F50" s="6"/>
      <c r="G50" s="6"/>
    </row>
    <row r="51" spans="1:7" x14ac:dyDescent="0.2">
      <c r="A51" s="6" t="s">
        <v>64</v>
      </c>
      <c r="B51" s="6"/>
      <c r="C51" s="6"/>
      <c r="D51" s="36">
        <f>D33</f>
        <v>34.166666666666671</v>
      </c>
      <c r="E51" s="6" t="s">
        <v>39</v>
      </c>
      <c r="F51" s="6"/>
      <c r="G51" s="6"/>
    </row>
    <row r="52" spans="1:7" x14ac:dyDescent="0.2">
      <c r="A52" s="6" t="s">
        <v>46</v>
      </c>
      <c r="B52" s="6"/>
      <c r="C52" s="6"/>
      <c r="D52" s="6">
        <f>SUM(D49:D51)</f>
        <v>72773.491760000019</v>
      </c>
      <c r="E52" s="6" t="s">
        <v>39</v>
      </c>
      <c r="F52" s="6"/>
      <c r="G52" s="6"/>
    </row>
    <row r="53" spans="1:7" x14ac:dyDescent="0.2">
      <c r="A53" s="6"/>
      <c r="B53" s="6"/>
      <c r="C53" s="6"/>
      <c r="D53" s="6" t="s">
        <v>8</v>
      </c>
      <c r="E53" s="6"/>
      <c r="F53" s="6"/>
      <c r="G53" s="6"/>
    </row>
    <row r="54" spans="1:7" x14ac:dyDescent="0.2">
      <c r="A54" s="20" t="s">
        <v>65</v>
      </c>
      <c r="B54" s="20"/>
      <c r="C54" s="20"/>
      <c r="D54" s="6" t="s">
        <v>8</v>
      </c>
      <c r="E54" s="6"/>
      <c r="F54" s="6"/>
      <c r="G54" s="6"/>
    </row>
    <row r="55" spans="1:7" x14ac:dyDescent="0.2">
      <c r="A55" s="19" t="s">
        <v>47</v>
      </c>
      <c r="B55" s="19"/>
      <c r="C55" s="19"/>
      <c r="D55" s="9">
        <v>0.05</v>
      </c>
      <c r="E55" s="6" t="s">
        <v>8</v>
      </c>
      <c r="F55" s="27">
        <f>D55*ADM!B39</f>
        <v>4690.831475</v>
      </c>
      <c r="G55" s="6"/>
    </row>
    <row r="56" spans="1:7" x14ac:dyDescent="0.2">
      <c r="A56" s="6"/>
      <c r="B56" s="6"/>
      <c r="C56" s="6"/>
      <c r="D56" s="6"/>
      <c r="E56" s="6"/>
      <c r="F56" s="27"/>
      <c r="G56" s="6"/>
    </row>
    <row r="57" spans="1:7" x14ac:dyDescent="0.2">
      <c r="A57" s="16" t="s">
        <v>205</v>
      </c>
      <c r="B57" s="6"/>
      <c r="C57" s="6"/>
      <c r="D57" s="6"/>
      <c r="E57" s="6"/>
      <c r="F57" s="27"/>
      <c r="G57" s="6"/>
    </row>
    <row r="58" spans="1:7" x14ac:dyDescent="0.2">
      <c r="A58" s="6" t="s">
        <v>48</v>
      </c>
      <c r="B58" s="6"/>
      <c r="C58" s="6"/>
      <c r="D58" s="29">
        <v>0.15</v>
      </c>
      <c r="E58" s="6" t="s">
        <v>8</v>
      </c>
      <c r="F58" s="27">
        <f>+(D52+F55)*D58</f>
        <v>11619.648485250002</v>
      </c>
      <c r="G58" s="6"/>
    </row>
    <row r="59" spans="1:7" x14ac:dyDescent="0.2">
      <c r="A59" s="6"/>
      <c r="B59" s="6"/>
      <c r="C59" s="6"/>
      <c r="D59" s="6"/>
      <c r="E59" s="6"/>
      <c r="F59" s="27"/>
      <c r="G59" s="6"/>
    </row>
    <row r="60" spans="1:7" x14ac:dyDescent="0.2">
      <c r="A60" s="20" t="s">
        <v>66</v>
      </c>
      <c r="B60" s="20"/>
      <c r="C60" s="20"/>
      <c r="D60" s="6"/>
      <c r="E60" s="6"/>
      <c r="F60" s="27">
        <f>+F58+F55+D52</f>
        <v>89083.971720250018</v>
      </c>
      <c r="G60" s="6"/>
    </row>
    <row r="61" spans="1:7" x14ac:dyDescent="0.2">
      <c r="A61" s="6"/>
      <c r="B61" s="6"/>
      <c r="C61" s="6"/>
      <c r="D61" s="6"/>
      <c r="E61" s="6"/>
      <c r="F61" s="27"/>
      <c r="G61" s="6"/>
    </row>
    <row r="62" spans="1:7" x14ac:dyDescent="0.2">
      <c r="A62" s="20" t="s">
        <v>204</v>
      </c>
      <c r="B62" s="6"/>
      <c r="C62" s="6"/>
      <c r="D62" s="6"/>
      <c r="E62" s="6"/>
      <c r="F62" s="27"/>
      <c r="G62" s="6"/>
    </row>
    <row r="63" spans="1:7" x14ac:dyDescent="0.2">
      <c r="A63" s="6" t="s">
        <v>48</v>
      </c>
      <c r="B63" s="6"/>
      <c r="C63" s="6"/>
      <c r="D63" s="9">
        <v>0.14249999999999999</v>
      </c>
      <c r="E63" s="6" t="s">
        <v>8</v>
      </c>
      <c r="F63" s="6">
        <f>+F60/0.8575</f>
        <v>103888.01366793005</v>
      </c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ht="13.7" customHeight="1" x14ac:dyDescent="0.2">
      <c r="A65" s="30" t="s">
        <v>67</v>
      </c>
      <c r="B65" s="30"/>
      <c r="C65" s="30"/>
      <c r="D65" s="2"/>
      <c r="E65" s="2"/>
      <c r="F65" s="6"/>
      <c r="G65" s="6"/>
    </row>
    <row r="66" spans="1:7" ht="12.75" customHeight="1" x14ac:dyDescent="0.2">
      <c r="A66" s="31" t="s">
        <v>49</v>
      </c>
      <c r="B66" s="31"/>
      <c r="C66" s="31"/>
      <c r="D66" s="2">
        <f>+F63</f>
        <v>103888.01366793005</v>
      </c>
      <c r="E66" s="2" t="s">
        <v>39</v>
      </c>
      <c r="F66" s="6"/>
      <c r="G66" s="6"/>
    </row>
    <row r="67" spans="1:7" ht="12.75" customHeight="1" x14ac:dyDescent="0.2">
      <c r="A67" s="2" t="s">
        <v>50</v>
      </c>
      <c r="B67" s="2"/>
      <c r="C67" s="2"/>
      <c r="D67" s="2">
        <v>2</v>
      </c>
      <c r="E67" s="2" t="s">
        <v>218</v>
      </c>
      <c r="F67" s="6"/>
      <c r="G67" s="6"/>
    </row>
    <row r="68" spans="1:7" ht="14.65" customHeight="1" x14ac:dyDescent="0.2">
      <c r="A68" s="2" t="s">
        <v>51</v>
      </c>
      <c r="B68" s="2"/>
      <c r="C68" s="2"/>
      <c r="D68" s="2">
        <f>ROUND(D66/D67,2)</f>
        <v>51944.01</v>
      </c>
      <c r="E68" s="31" t="s">
        <v>217</v>
      </c>
      <c r="F68" s="1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37"/>
      <c r="B70" s="37"/>
      <c r="C70" s="37"/>
      <c r="G70" s="6"/>
    </row>
    <row r="71" spans="1:7" x14ac:dyDescent="0.2">
      <c r="G71" s="6"/>
    </row>
    <row r="72" spans="1:7" x14ac:dyDescent="0.2">
      <c r="G72" s="6"/>
    </row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Header>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76"/>
  <sheetViews>
    <sheetView view="pageBreakPreview" topLeftCell="A45" zoomScaleSheetLayoutView="100" workbookViewId="0">
      <selection activeCell="D71" sqref="D71"/>
    </sheetView>
  </sheetViews>
  <sheetFormatPr defaultColWidth="12" defaultRowHeight="12.75" x14ac:dyDescent="0.2"/>
  <cols>
    <col min="1" max="1" width="54" style="13" customWidth="1"/>
    <col min="2" max="2" width="11.1640625" style="13" customWidth="1"/>
    <col min="3" max="3" width="6.5" style="13" customWidth="1"/>
    <col min="4" max="5" width="16.6640625" style="13" customWidth="1"/>
    <col min="6" max="6" width="19.6640625" style="13" customWidth="1"/>
    <col min="7" max="7" width="16.6640625" style="156" customWidth="1"/>
    <col min="8" max="8" width="6.6640625" style="154" customWidth="1"/>
    <col min="9" max="10" width="12" style="1"/>
    <col min="11" max="11" width="15" style="155" bestFit="1" customWidth="1"/>
    <col min="12" max="12" width="12" style="33"/>
    <col min="13" max="17" width="12" style="1"/>
    <col min="18" max="18" width="13.6640625" style="1" bestFit="1" customWidth="1"/>
    <col min="19" max="22" width="12" style="1"/>
    <col min="23" max="23" width="13.6640625" style="1" bestFit="1" customWidth="1"/>
    <col min="24" max="16384" width="12" style="1"/>
  </cols>
  <sheetData>
    <row r="1" spans="1:24" x14ac:dyDescent="0.2">
      <c r="A1" s="414" t="s">
        <v>0</v>
      </c>
      <c r="B1" s="414"/>
      <c r="C1" s="414"/>
      <c r="D1" s="414"/>
      <c r="E1" s="414"/>
      <c r="F1" s="414"/>
      <c r="G1" s="167"/>
    </row>
    <row r="2" spans="1:24" x14ac:dyDescent="0.2">
      <c r="A2" s="6"/>
      <c r="B2" s="6"/>
      <c r="C2" s="6"/>
      <c r="D2" s="6"/>
      <c r="E2" s="6"/>
      <c r="F2" s="6"/>
      <c r="H2" s="156"/>
    </row>
    <row r="3" spans="1:24" x14ac:dyDescent="0.2">
      <c r="A3" s="19" t="s">
        <v>301</v>
      </c>
      <c r="B3" s="19"/>
      <c r="C3" s="18"/>
      <c r="D3" s="18"/>
      <c r="E3" s="18"/>
      <c r="F3" s="18"/>
      <c r="H3" s="156"/>
    </row>
    <row r="4" spans="1:24" x14ac:dyDescent="0.2">
      <c r="A4" s="18"/>
      <c r="B4" s="18"/>
      <c r="C4" s="18"/>
      <c r="D4" s="6"/>
      <c r="E4" s="6"/>
      <c r="F4" s="6"/>
      <c r="H4" s="156"/>
    </row>
    <row r="5" spans="1:24" x14ac:dyDescent="0.2">
      <c r="A5" s="18"/>
      <c r="B5" s="18"/>
      <c r="C5" s="18"/>
      <c r="D5" s="6"/>
      <c r="E5" s="6"/>
      <c r="F5" s="6"/>
      <c r="H5" s="156"/>
    </row>
    <row r="6" spans="1:24" x14ac:dyDescent="0.2">
      <c r="A6" s="16" t="s">
        <v>35</v>
      </c>
      <c r="B6" s="16"/>
      <c r="C6" s="16"/>
      <c r="D6" s="6"/>
      <c r="E6" s="6"/>
      <c r="F6" s="6"/>
      <c r="H6" s="156"/>
    </row>
    <row r="7" spans="1:24" x14ac:dyDescent="0.2">
      <c r="A7" s="6"/>
      <c r="B7" s="6"/>
      <c r="C7" s="6"/>
      <c r="D7" s="6"/>
      <c r="E7" s="6"/>
      <c r="F7" s="17"/>
      <c r="H7" s="156"/>
    </row>
    <row r="8" spans="1:24" x14ac:dyDescent="0.2">
      <c r="A8" s="18" t="s">
        <v>88</v>
      </c>
      <c r="B8" s="18"/>
      <c r="C8" s="18"/>
      <c r="D8" s="36">
        <v>1</v>
      </c>
      <c r="E8" s="6" t="s">
        <v>36</v>
      </c>
      <c r="F8" s="6"/>
      <c r="G8" s="156" t="s">
        <v>8</v>
      </c>
      <c r="H8" s="156"/>
      <c r="O8" s="156"/>
      <c r="R8" s="155"/>
      <c r="S8" s="33"/>
    </row>
    <row r="9" spans="1:24" x14ac:dyDescent="0.2">
      <c r="A9" s="19" t="s">
        <v>52</v>
      </c>
      <c r="B9" s="19"/>
      <c r="C9" s="19"/>
      <c r="D9" s="6">
        <f>+COLETOR!B27</f>
        <v>3918.9569400000005</v>
      </c>
      <c r="E9" s="19" t="s">
        <v>37</v>
      </c>
      <c r="F9" s="6"/>
      <c r="H9" s="156"/>
      <c r="O9" s="156"/>
      <c r="R9" s="155"/>
      <c r="S9" s="33"/>
      <c r="W9" s="155"/>
      <c r="X9" s="33"/>
    </row>
    <row r="10" spans="1:24" x14ac:dyDescent="0.2">
      <c r="A10" s="18" t="s">
        <v>43</v>
      </c>
      <c r="B10" s="18"/>
      <c r="C10" s="18"/>
      <c r="D10" s="6">
        <f>+D9*D8</f>
        <v>3918.9569400000005</v>
      </c>
      <c r="E10" s="6" t="s">
        <v>39</v>
      </c>
      <c r="F10" s="6"/>
      <c r="H10" s="156"/>
      <c r="O10" s="156"/>
      <c r="R10" s="155"/>
      <c r="S10" s="33"/>
      <c r="W10" s="155"/>
      <c r="X10" s="33"/>
    </row>
    <row r="11" spans="1:24" x14ac:dyDescent="0.2">
      <c r="A11" s="18" t="s">
        <v>198</v>
      </c>
      <c r="B11" s="18"/>
      <c r="C11" s="18"/>
      <c r="D11" s="6">
        <f>D10</f>
        <v>3918.9569400000005</v>
      </c>
      <c r="E11" s="6" t="s">
        <v>45</v>
      </c>
      <c r="F11" s="6"/>
      <c r="H11" s="156"/>
      <c r="O11" s="156"/>
      <c r="R11" s="155"/>
      <c r="S11" s="33"/>
      <c r="W11" s="155"/>
      <c r="X11" s="33"/>
    </row>
    <row r="12" spans="1:24" x14ac:dyDescent="0.2">
      <c r="A12" s="19"/>
      <c r="B12" s="19"/>
      <c r="C12" s="19"/>
      <c r="D12" s="6"/>
      <c r="E12" s="6"/>
      <c r="F12" s="6"/>
      <c r="H12" s="156"/>
      <c r="O12" s="156"/>
      <c r="R12" s="155"/>
      <c r="S12" s="33"/>
      <c r="W12" s="155"/>
      <c r="X12" s="33"/>
    </row>
    <row r="13" spans="1:24" x14ac:dyDescent="0.2">
      <c r="A13" s="19" t="s">
        <v>40</v>
      </c>
      <c r="B13" s="19"/>
      <c r="C13" s="19"/>
      <c r="D13" s="6">
        <v>0</v>
      </c>
      <c r="E13" s="6" t="s">
        <v>36</v>
      </c>
      <c r="F13" s="6"/>
      <c r="H13" s="156"/>
      <c r="O13" s="156"/>
      <c r="R13" s="155"/>
      <c r="S13" s="33"/>
      <c r="W13" s="155"/>
      <c r="X13" s="33"/>
    </row>
    <row r="14" spans="1:24" x14ac:dyDescent="0.2">
      <c r="A14" s="6" t="s">
        <v>41</v>
      </c>
      <c r="B14" s="6"/>
      <c r="C14" s="6"/>
      <c r="D14" s="6">
        <v>0</v>
      </c>
      <c r="E14" s="6" t="s">
        <v>37</v>
      </c>
      <c r="F14" s="6"/>
      <c r="H14" s="156"/>
      <c r="O14" s="156"/>
      <c r="R14" s="155"/>
      <c r="S14" s="33"/>
      <c r="W14" s="155"/>
      <c r="X14" s="33"/>
    </row>
    <row r="15" spans="1:24" x14ac:dyDescent="0.2">
      <c r="A15" s="18" t="s">
        <v>43</v>
      </c>
      <c r="B15" s="18"/>
      <c r="C15" s="18"/>
      <c r="D15" s="6">
        <f>+D14*D13</f>
        <v>0</v>
      </c>
      <c r="E15" s="6" t="s">
        <v>39</v>
      </c>
      <c r="F15" s="6"/>
      <c r="H15" s="156"/>
      <c r="O15" s="156"/>
      <c r="R15" s="155"/>
      <c r="S15" s="33"/>
      <c r="W15" s="155"/>
      <c r="X15" s="33"/>
    </row>
    <row r="16" spans="1:24" x14ac:dyDescent="0.2">
      <c r="A16" s="6" t="s">
        <v>53</v>
      </c>
      <c r="B16" s="6"/>
      <c r="C16" s="6"/>
      <c r="D16" s="6">
        <f>D15</f>
        <v>0</v>
      </c>
      <c r="E16" s="6" t="s">
        <v>45</v>
      </c>
      <c r="F16" s="6"/>
      <c r="H16" s="156"/>
      <c r="O16" s="156"/>
      <c r="R16" s="155"/>
      <c r="S16" s="33"/>
      <c r="W16" s="155"/>
      <c r="X16" s="33"/>
    </row>
    <row r="17" spans="1:24" x14ac:dyDescent="0.2">
      <c r="A17" s="6"/>
      <c r="B17" s="6"/>
      <c r="C17" s="6"/>
      <c r="D17" s="6"/>
      <c r="E17" s="6"/>
      <c r="F17" s="6"/>
      <c r="H17" s="156"/>
      <c r="O17" s="156"/>
      <c r="R17" s="155"/>
      <c r="S17" s="33"/>
      <c r="W17" s="155"/>
      <c r="X17" s="33"/>
    </row>
    <row r="18" spans="1:24" x14ac:dyDescent="0.2">
      <c r="A18" s="19" t="s">
        <v>54</v>
      </c>
      <c r="B18" s="19"/>
      <c r="C18" s="19"/>
      <c r="D18" s="6">
        <v>0.5</v>
      </c>
      <c r="E18" s="6" t="s">
        <v>36</v>
      </c>
      <c r="F18" s="6"/>
      <c r="H18" s="156"/>
      <c r="O18" s="156"/>
      <c r="R18" s="155"/>
      <c r="S18" s="33"/>
      <c r="W18" s="155"/>
      <c r="X18" s="33"/>
    </row>
    <row r="19" spans="1:24" x14ac:dyDescent="0.2">
      <c r="A19" s="19" t="s">
        <v>55</v>
      </c>
      <c r="B19" s="19"/>
      <c r="C19" s="19"/>
      <c r="D19" s="6">
        <f>+MOTORISTA!B31</f>
        <v>5114.9084999999995</v>
      </c>
      <c r="E19" s="6" t="s">
        <v>37</v>
      </c>
      <c r="F19" s="6"/>
      <c r="H19" s="156"/>
      <c r="O19" s="156"/>
      <c r="R19" s="155"/>
      <c r="S19" s="33"/>
      <c r="W19" s="155"/>
      <c r="X19" s="33"/>
    </row>
    <row r="20" spans="1:24" x14ac:dyDescent="0.2">
      <c r="A20" s="18" t="s">
        <v>43</v>
      </c>
      <c r="B20" s="18"/>
      <c r="C20" s="18"/>
      <c r="D20" s="6">
        <f>+D19*D18</f>
        <v>2557.4542499999998</v>
      </c>
      <c r="E20" s="6" t="s">
        <v>39</v>
      </c>
      <c r="F20" s="6"/>
      <c r="H20" s="156"/>
      <c r="O20" s="156"/>
      <c r="R20" s="155"/>
      <c r="S20" s="33"/>
      <c r="W20" s="155"/>
      <c r="X20" s="33"/>
    </row>
    <row r="21" spans="1:24" x14ac:dyDescent="0.2">
      <c r="A21" s="18" t="s">
        <v>57</v>
      </c>
      <c r="B21" s="18"/>
      <c r="C21" s="18"/>
      <c r="D21" s="6">
        <f>D20</f>
        <v>2557.4542499999998</v>
      </c>
      <c r="E21" s="6" t="s">
        <v>45</v>
      </c>
      <c r="F21" s="6"/>
      <c r="H21" s="156"/>
      <c r="O21" s="156"/>
      <c r="R21" s="155"/>
      <c r="S21" s="33"/>
      <c r="W21" s="155"/>
      <c r="X21" s="33"/>
    </row>
    <row r="22" spans="1:24" x14ac:dyDescent="0.2">
      <c r="A22" s="6"/>
      <c r="B22" s="6"/>
      <c r="C22" s="6"/>
      <c r="D22" s="6"/>
      <c r="E22" s="6"/>
      <c r="F22" s="6"/>
      <c r="H22" s="156"/>
      <c r="O22" s="156"/>
      <c r="R22" s="155"/>
      <c r="S22" s="33"/>
      <c r="W22" s="155"/>
      <c r="X22" s="33"/>
    </row>
    <row r="23" spans="1:24" x14ac:dyDescent="0.2">
      <c r="A23" s="162" t="s">
        <v>282</v>
      </c>
      <c r="B23" s="162"/>
      <c r="C23" s="162"/>
      <c r="D23" s="162">
        <f>(D11+D16+D21+F11+F16+F21)</f>
        <v>6476.4111900000007</v>
      </c>
      <c r="E23" s="162" t="s">
        <v>263</v>
      </c>
      <c r="F23" s="6"/>
      <c r="H23" s="156"/>
      <c r="O23" s="156"/>
      <c r="R23" s="155"/>
      <c r="S23" s="33"/>
      <c r="W23" s="155"/>
      <c r="X23" s="33"/>
    </row>
    <row r="24" spans="1:24" x14ac:dyDescent="0.2">
      <c r="A24" s="6"/>
      <c r="B24" s="6"/>
      <c r="C24" s="6"/>
      <c r="D24" s="6"/>
      <c r="E24" s="6"/>
      <c r="F24" s="6"/>
      <c r="H24" s="156"/>
      <c r="K24" s="157"/>
      <c r="O24" s="156"/>
      <c r="R24" s="157"/>
      <c r="S24" s="33"/>
      <c r="W24" s="155"/>
      <c r="X24" s="33"/>
    </row>
    <row r="25" spans="1:24" x14ac:dyDescent="0.2">
      <c r="A25" s="20" t="s">
        <v>87</v>
      </c>
      <c r="B25" s="20"/>
      <c r="C25" s="20"/>
      <c r="D25" s="6"/>
      <c r="E25" s="6"/>
      <c r="H25" s="156"/>
      <c r="O25" s="156"/>
      <c r="R25" s="155"/>
      <c r="S25" s="33"/>
      <c r="W25" s="157"/>
      <c r="X25" s="33"/>
    </row>
    <row r="26" spans="1:24" x14ac:dyDescent="0.2">
      <c r="A26" s="6"/>
      <c r="B26" s="6"/>
      <c r="C26" s="6"/>
      <c r="D26" s="6"/>
      <c r="E26" s="6"/>
      <c r="H26" s="156"/>
      <c r="O26" s="156"/>
      <c r="R26" s="155"/>
      <c r="S26" s="33"/>
      <c r="W26" s="155"/>
      <c r="X26" s="33"/>
    </row>
    <row r="27" spans="1:24" x14ac:dyDescent="0.2">
      <c r="A27" s="18" t="s">
        <v>283</v>
      </c>
      <c r="B27" s="18"/>
      <c r="C27" s="18"/>
      <c r="D27" s="6">
        <v>0.5</v>
      </c>
      <c r="E27" s="6" t="s">
        <v>284</v>
      </c>
      <c r="F27" s="6"/>
      <c r="G27" s="156" t="s">
        <v>8</v>
      </c>
      <c r="H27" s="156"/>
      <c r="O27" s="156"/>
      <c r="R27" s="155"/>
      <c r="S27" s="33"/>
      <c r="W27" s="155"/>
      <c r="X27" s="33"/>
    </row>
    <row r="28" spans="1:24" x14ac:dyDescent="0.2">
      <c r="A28" s="6" t="s">
        <v>58</v>
      </c>
      <c r="B28" s="6"/>
      <c r="C28" s="6"/>
      <c r="D28" s="6">
        <f>[3]LAVADOR!B56</f>
        <v>16432.954083333334</v>
      </c>
      <c r="E28" s="6" t="s">
        <v>37</v>
      </c>
      <c r="F28" s="158"/>
      <c r="H28" s="156"/>
      <c r="O28" s="156"/>
      <c r="R28" s="155"/>
      <c r="S28" s="33"/>
      <c r="W28" s="155"/>
      <c r="X28" s="33"/>
    </row>
    <row r="29" spans="1:24" x14ac:dyDescent="0.2">
      <c r="A29" s="19" t="s">
        <v>285</v>
      </c>
      <c r="B29" s="19"/>
      <c r="C29" s="19"/>
      <c r="D29" s="6">
        <f>ROUND(+D28*D27,2)*(I46)</f>
        <v>7969.9855999999991</v>
      </c>
      <c r="E29" s="6" t="s">
        <v>39</v>
      </c>
      <c r="F29" s="6"/>
      <c r="H29" s="156"/>
      <c r="O29" s="156"/>
      <c r="R29" s="155"/>
      <c r="S29" s="33"/>
      <c r="W29" s="155"/>
      <c r="X29" s="33"/>
    </row>
    <row r="30" spans="1:24" x14ac:dyDescent="0.2">
      <c r="A30" s="19"/>
      <c r="B30" s="19"/>
      <c r="C30" s="19"/>
      <c r="D30" s="6"/>
      <c r="E30" s="6"/>
      <c r="H30" s="156"/>
      <c r="O30" s="156"/>
      <c r="R30" s="155"/>
      <c r="S30" s="33"/>
      <c r="W30" s="155"/>
      <c r="X30" s="33"/>
    </row>
    <row r="31" spans="1:24" hidden="1" x14ac:dyDescent="0.2">
      <c r="A31" s="18" t="s">
        <v>286</v>
      </c>
      <c r="B31" s="18"/>
      <c r="C31" s="18"/>
      <c r="D31" s="6"/>
      <c r="E31" s="6" t="s">
        <v>36</v>
      </c>
      <c r="H31" s="156"/>
      <c r="O31" s="156"/>
      <c r="R31" s="155"/>
      <c r="S31" s="33"/>
      <c r="W31" s="155"/>
      <c r="X31" s="33"/>
    </row>
    <row r="32" spans="1:24" hidden="1" x14ac:dyDescent="0.2">
      <c r="A32" s="6" t="s">
        <v>58</v>
      </c>
      <c r="B32" s="6"/>
      <c r="C32" s="6"/>
      <c r="D32" s="6"/>
      <c r="E32" s="6" t="s">
        <v>37</v>
      </c>
      <c r="H32" s="156"/>
      <c r="W32" s="155"/>
      <c r="X32" s="33"/>
    </row>
    <row r="33" spans="1:12" hidden="1" x14ac:dyDescent="0.2">
      <c r="A33" s="18" t="s">
        <v>93</v>
      </c>
      <c r="B33" s="18"/>
      <c r="C33" s="18"/>
      <c r="D33" s="6">
        <f>ROUND(D32*D31,2)</f>
        <v>0</v>
      </c>
      <c r="E33" s="6" t="s">
        <v>39</v>
      </c>
      <c r="H33" s="156"/>
    </row>
    <row r="34" spans="1:12" hidden="1" x14ac:dyDescent="0.2">
      <c r="A34" s="19"/>
      <c r="B34" s="19"/>
      <c r="C34" s="19"/>
      <c r="D34" s="6"/>
      <c r="E34" s="6"/>
      <c r="H34" s="156"/>
    </row>
    <row r="35" spans="1:12" hidden="1" x14ac:dyDescent="0.2">
      <c r="A35" s="6"/>
      <c r="B35" s="6"/>
      <c r="C35" s="6"/>
      <c r="D35" s="6"/>
      <c r="E35" s="6"/>
      <c r="H35" s="156"/>
    </row>
    <row r="36" spans="1:12" x14ac:dyDescent="0.2">
      <c r="A36" s="162" t="s">
        <v>287</v>
      </c>
      <c r="B36" s="162"/>
      <c r="C36" s="162"/>
      <c r="D36" s="162">
        <f>D29+F29</f>
        <v>7969.9855999999991</v>
      </c>
      <c r="E36" s="162" t="s">
        <v>263</v>
      </c>
      <c r="H36" s="156"/>
    </row>
    <row r="37" spans="1:12" x14ac:dyDescent="0.2">
      <c r="A37" s="6"/>
      <c r="B37" s="6"/>
      <c r="C37" s="6"/>
      <c r="D37" s="6"/>
      <c r="E37" s="6"/>
      <c r="H37" s="156"/>
    </row>
    <row r="38" spans="1:12" x14ac:dyDescent="0.2">
      <c r="A38" s="20" t="s">
        <v>288</v>
      </c>
      <c r="B38" s="20"/>
      <c r="C38" s="20"/>
      <c r="D38" s="21"/>
      <c r="E38" s="6"/>
    </row>
    <row r="39" spans="1:12" x14ac:dyDescent="0.2">
      <c r="A39" s="20"/>
      <c r="B39" s="20"/>
      <c r="C39" s="20"/>
      <c r="D39" s="21"/>
      <c r="E39" s="6"/>
    </row>
    <row r="40" spans="1:12" x14ac:dyDescent="0.2">
      <c r="A40" s="22" t="s">
        <v>289</v>
      </c>
      <c r="B40" s="23">
        <v>300</v>
      </c>
      <c r="C40" s="24" t="s">
        <v>122</v>
      </c>
      <c r="D40" s="6">
        <f>+'CONTAINER 1M'!B45*B40</f>
        <v>44415</v>
      </c>
      <c r="E40" s="6" t="s">
        <v>39</v>
      </c>
      <c r="G40" s="159"/>
      <c r="H40" s="156"/>
    </row>
    <row r="41" spans="1:12" x14ac:dyDescent="0.2">
      <c r="A41" s="6" t="s">
        <v>290</v>
      </c>
      <c r="B41" s="160">
        <v>0.01</v>
      </c>
      <c r="C41" s="24" t="s">
        <v>122</v>
      </c>
      <c r="D41" s="6">
        <f>D40*B41</f>
        <v>444.15000000000003</v>
      </c>
      <c r="E41" s="6" t="s">
        <v>39</v>
      </c>
      <c r="G41" s="159"/>
      <c r="H41" s="156"/>
    </row>
    <row r="42" spans="1:12" x14ac:dyDescent="0.2">
      <c r="A42" s="6" t="s">
        <v>291</v>
      </c>
      <c r="B42" s="25">
        <v>0</v>
      </c>
      <c r="C42" s="24" t="s">
        <v>122</v>
      </c>
      <c r="D42" s="6">
        <f>600*B42/12</f>
        <v>0</v>
      </c>
      <c r="E42" s="6" t="s">
        <v>39</v>
      </c>
      <c r="G42" s="159"/>
      <c r="H42" s="156"/>
    </row>
    <row r="43" spans="1:12" x14ac:dyDescent="0.2">
      <c r="A43" s="6" t="s">
        <v>292</v>
      </c>
      <c r="B43" s="25">
        <v>0</v>
      </c>
      <c r="C43" s="24" t="s">
        <v>122</v>
      </c>
      <c r="D43" s="6">
        <f>+D42*0.05</f>
        <v>0</v>
      </c>
      <c r="E43" s="6" t="s">
        <v>39</v>
      </c>
      <c r="G43" s="159"/>
      <c r="H43" s="156"/>
    </row>
    <row r="44" spans="1:12" x14ac:dyDescent="0.2">
      <c r="A44" s="6" t="s">
        <v>126</v>
      </c>
      <c r="B44" s="25">
        <v>0</v>
      </c>
      <c r="C44" s="24" t="s">
        <v>122</v>
      </c>
      <c r="D44" s="6">
        <f>B44*[4]PREÇOS!F15</f>
        <v>0</v>
      </c>
      <c r="E44" s="6" t="s">
        <v>39</v>
      </c>
      <c r="G44" s="159"/>
      <c r="H44" s="156"/>
    </row>
    <row r="45" spans="1:12" x14ac:dyDescent="0.2">
      <c r="A45" s="6" t="s">
        <v>293</v>
      </c>
      <c r="B45" s="25">
        <v>1</v>
      </c>
      <c r="C45" s="24" t="s">
        <v>122</v>
      </c>
      <c r="D45" s="6">
        <v>1100</v>
      </c>
      <c r="E45" s="6" t="s">
        <v>39</v>
      </c>
      <c r="G45" s="159"/>
      <c r="H45" s="156"/>
    </row>
    <row r="46" spans="1:12" x14ac:dyDescent="0.2">
      <c r="A46" s="6" t="s">
        <v>294</v>
      </c>
      <c r="B46" s="25">
        <v>1</v>
      </c>
      <c r="C46" s="24" t="s">
        <v>122</v>
      </c>
      <c r="D46" s="6">
        <v>800</v>
      </c>
      <c r="E46" s="6" t="s">
        <v>39</v>
      </c>
      <c r="G46" s="159"/>
      <c r="H46" s="156"/>
      <c r="I46" s="1">
        <f>1-(30/1000)</f>
        <v>0.97</v>
      </c>
    </row>
    <row r="47" spans="1:12" x14ac:dyDescent="0.2">
      <c r="A47" s="6"/>
      <c r="B47" s="6"/>
      <c r="C47" s="6"/>
      <c r="D47" s="6"/>
      <c r="E47" s="6"/>
      <c r="H47" s="156"/>
      <c r="K47" s="1"/>
      <c r="L47" s="1"/>
    </row>
    <row r="48" spans="1:12" x14ac:dyDescent="0.2">
      <c r="A48" s="162" t="s">
        <v>295</v>
      </c>
      <c r="B48" s="162"/>
      <c r="C48" s="162"/>
      <c r="D48" s="162">
        <f>SUM(D40:D46)</f>
        <v>46759.15</v>
      </c>
      <c r="E48" s="162" t="s">
        <v>263</v>
      </c>
      <c r="H48" s="156"/>
      <c r="K48" s="1"/>
      <c r="L48" s="1"/>
    </row>
    <row r="49" spans="1:12" x14ac:dyDescent="0.2">
      <c r="A49" s="6"/>
      <c r="B49" s="6"/>
      <c r="C49" s="6"/>
      <c r="D49" s="6"/>
      <c r="E49" s="6"/>
      <c r="H49" s="156"/>
      <c r="K49" s="1"/>
      <c r="L49" s="1"/>
    </row>
    <row r="50" spans="1:12" x14ac:dyDescent="0.2">
      <c r="A50" s="6"/>
      <c r="B50" s="6"/>
      <c r="C50" s="6"/>
      <c r="D50" s="6"/>
      <c r="E50" s="6"/>
      <c r="H50" s="156"/>
      <c r="K50" s="1"/>
      <c r="L50" s="1"/>
    </row>
    <row r="51" spans="1:12" x14ac:dyDescent="0.2">
      <c r="A51" s="6" t="s">
        <v>63</v>
      </c>
      <c r="B51" s="6"/>
      <c r="C51" s="6"/>
      <c r="D51" s="6"/>
      <c r="E51" s="6"/>
      <c r="H51" s="156"/>
      <c r="K51" s="1"/>
      <c r="L51" s="1"/>
    </row>
    <row r="52" spans="1:12" x14ac:dyDescent="0.2">
      <c r="A52" s="20"/>
      <c r="B52" s="20"/>
      <c r="C52" s="20"/>
      <c r="D52" s="6"/>
      <c r="E52" s="6"/>
      <c r="H52" s="156"/>
      <c r="K52" s="1"/>
      <c r="L52" s="1"/>
    </row>
    <row r="53" spans="1:12" x14ac:dyDescent="0.2">
      <c r="A53" s="6" t="s">
        <v>68</v>
      </c>
      <c r="B53" s="6"/>
      <c r="C53" s="6"/>
      <c r="D53" s="6">
        <f>+D23</f>
        <v>6476.4111900000007</v>
      </c>
      <c r="E53" s="6" t="s">
        <v>39</v>
      </c>
      <c r="H53" s="156"/>
      <c r="I53" s="161">
        <f>(D53/$D$56)*100</f>
        <v>10.581410462812981</v>
      </c>
      <c r="K53" s="1"/>
      <c r="L53" s="1"/>
    </row>
    <row r="54" spans="1:12" x14ac:dyDescent="0.2">
      <c r="A54" s="6" t="s">
        <v>62</v>
      </c>
      <c r="B54" s="6"/>
      <c r="C54" s="6"/>
      <c r="D54" s="6">
        <f>+D36</f>
        <v>7969.9855999999991</v>
      </c>
      <c r="E54" s="6" t="s">
        <v>39</v>
      </c>
      <c r="H54" s="156"/>
      <c r="I54" s="161">
        <f>(D54/$D$56)*100</f>
        <v>13.021669956120988</v>
      </c>
      <c r="K54" s="1"/>
      <c r="L54" s="1"/>
    </row>
    <row r="55" spans="1:12" x14ac:dyDescent="0.2">
      <c r="A55" s="6" t="s">
        <v>64</v>
      </c>
      <c r="B55" s="6"/>
      <c r="C55" s="6"/>
      <c r="D55" s="36">
        <f>D48</f>
        <v>46759.15</v>
      </c>
      <c r="E55" s="6" t="s">
        <v>39</v>
      </c>
      <c r="H55" s="156"/>
      <c r="I55" s="161">
        <f>(D55/$D$56)*100</f>
        <v>76.396903242680224</v>
      </c>
      <c r="K55" s="1"/>
      <c r="L55" s="1"/>
    </row>
    <row r="56" spans="1:12" x14ac:dyDescent="0.2">
      <c r="A56" s="162" t="s">
        <v>297</v>
      </c>
      <c r="B56" s="162"/>
      <c r="C56" s="162"/>
      <c r="D56" s="162">
        <f>SUM(D53:D55)+0.01</f>
        <v>61205.556790000002</v>
      </c>
      <c r="E56" s="162" t="s">
        <v>263</v>
      </c>
      <c r="H56" s="156"/>
      <c r="I56" s="161"/>
      <c r="K56" s="1"/>
      <c r="L56" s="1"/>
    </row>
    <row r="57" spans="1:12" x14ac:dyDescent="0.2">
      <c r="A57" s="6"/>
      <c r="B57" s="6"/>
      <c r="C57" s="6"/>
      <c r="D57" s="36"/>
      <c r="E57" s="6"/>
      <c r="H57" s="156"/>
      <c r="I57" s="161"/>
      <c r="K57" s="1"/>
      <c r="L57" s="1"/>
    </row>
    <row r="58" spans="1:12" x14ac:dyDescent="0.2">
      <c r="A58" s="20" t="s">
        <v>65</v>
      </c>
      <c r="B58" s="20"/>
      <c r="C58" s="20"/>
      <c r="D58" s="6" t="s">
        <v>8</v>
      </c>
      <c r="E58" s="6"/>
      <c r="F58" s="6"/>
      <c r="H58" s="156"/>
      <c r="I58" s="161"/>
      <c r="K58" s="1"/>
      <c r="L58" s="1"/>
    </row>
    <row r="59" spans="1:12" x14ac:dyDescent="0.2">
      <c r="A59" s="19" t="s">
        <v>157</v>
      </c>
      <c r="B59" s="19"/>
      <c r="C59" s="19"/>
      <c r="D59" s="172">
        <v>0.1</v>
      </c>
      <c r="E59" s="6" t="s">
        <v>8</v>
      </c>
      <c r="F59" s="27">
        <f>+ADM!B39*'LOC LAV CONT'!D59</f>
        <v>9381.6629499999999</v>
      </c>
      <c r="H59" s="156"/>
      <c r="I59" s="161"/>
      <c r="K59" s="1"/>
      <c r="L59" s="1"/>
    </row>
    <row r="60" spans="1:12" x14ac:dyDescent="0.2">
      <c r="A60" s="6"/>
      <c r="B60" s="6"/>
      <c r="C60" s="6"/>
      <c r="D60" s="6"/>
      <c r="E60" s="6"/>
      <c r="F60" s="27"/>
      <c r="H60" s="156"/>
      <c r="I60" s="161"/>
      <c r="K60" s="1"/>
      <c r="L60" s="1"/>
    </row>
    <row r="61" spans="1:12" x14ac:dyDescent="0.2">
      <c r="A61" s="16" t="s">
        <v>205</v>
      </c>
      <c r="B61" s="6"/>
      <c r="C61" s="6"/>
      <c r="D61" s="6"/>
      <c r="E61" s="6"/>
      <c r="F61" s="27"/>
      <c r="H61" s="156"/>
      <c r="I61" s="161"/>
      <c r="K61" s="1"/>
      <c r="L61" s="1"/>
    </row>
    <row r="62" spans="1:12" x14ac:dyDescent="0.2">
      <c r="A62" s="6" t="s">
        <v>48</v>
      </c>
      <c r="B62" s="6"/>
      <c r="C62" s="6"/>
      <c r="D62" s="29">
        <v>0.15</v>
      </c>
      <c r="E62" s="6" t="s">
        <v>8</v>
      </c>
      <c r="F62" s="27">
        <f>ROUND((+D56+F59)*D62,2)</f>
        <v>10588.08</v>
      </c>
      <c r="H62" s="156"/>
      <c r="I62" s="161"/>
      <c r="J62" s="155"/>
      <c r="K62" s="1"/>
      <c r="L62" s="1"/>
    </row>
    <row r="63" spans="1:12" x14ac:dyDescent="0.2">
      <c r="A63" s="6"/>
      <c r="B63" s="6"/>
      <c r="C63" s="6"/>
      <c r="D63" s="6"/>
      <c r="E63" s="6"/>
      <c r="F63" s="27"/>
      <c r="H63" s="156"/>
      <c r="K63" s="1"/>
      <c r="L63" s="1"/>
    </row>
    <row r="64" spans="1:12" x14ac:dyDescent="0.2">
      <c r="A64" s="20" t="s">
        <v>66</v>
      </c>
      <c r="B64" s="20"/>
      <c r="C64" s="20"/>
      <c r="D64" s="6"/>
      <c r="E64" s="6"/>
      <c r="F64" s="27">
        <f>ROUND(+F62+F59+D56,2)</f>
        <v>81175.3</v>
      </c>
      <c r="H64" s="156"/>
      <c r="K64" s="1"/>
      <c r="L64" s="1"/>
    </row>
    <row r="65" spans="1:17" x14ac:dyDescent="0.2">
      <c r="A65" s="6"/>
      <c r="B65" s="6"/>
      <c r="C65" s="6"/>
      <c r="D65" s="6"/>
      <c r="E65" s="6"/>
      <c r="H65" s="156"/>
      <c r="K65" s="1"/>
      <c r="L65" s="1"/>
    </row>
    <row r="66" spans="1:17" s="165" customFormat="1" x14ac:dyDescent="0.2">
      <c r="A66" s="20" t="s">
        <v>204</v>
      </c>
      <c r="B66" s="6"/>
      <c r="C66" s="6"/>
      <c r="D66" s="6"/>
      <c r="E66" s="6"/>
      <c r="F66" s="27"/>
      <c r="G66" s="162"/>
      <c r="H66" s="168"/>
      <c r="I66" s="163"/>
      <c r="O66" s="166"/>
      <c r="Q66" s="161"/>
    </row>
    <row r="67" spans="1:17" s="165" customFormat="1" x14ac:dyDescent="0.2">
      <c r="A67" s="6" t="s">
        <v>48</v>
      </c>
      <c r="B67" s="6"/>
      <c r="C67" s="6"/>
      <c r="D67" s="9">
        <v>0.14249999999999999</v>
      </c>
      <c r="E67" s="6" t="s">
        <v>8</v>
      </c>
      <c r="F67" s="6">
        <f>+F64/0.8575</f>
        <v>94665.072886297377</v>
      </c>
      <c r="G67" s="162"/>
      <c r="H67" s="162"/>
      <c r="O67" s="166"/>
      <c r="Q67" s="161"/>
    </row>
    <row r="68" spans="1:17" s="165" customFormat="1" x14ac:dyDescent="0.2">
      <c r="A68" s="6"/>
      <c r="B68" s="6"/>
      <c r="C68" s="6"/>
      <c r="D68" s="9"/>
      <c r="E68" s="6"/>
      <c r="F68" s="6"/>
      <c r="G68" s="162"/>
      <c r="H68" s="162"/>
      <c r="O68" s="166"/>
      <c r="Q68" s="161"/>
    </row>
    <row r="69" spans="1:17" s="165" customFormat="1" x14ac:dyDescent="0.2">
      <c r="A69" s="6"/>
      <c r="B69" s="6"/>
      <c r="C69" s="6"/>
      <c r="D69" s="9"/>
      <c r="E69" s="6"/>
      <c r="F69" s="6"/>
      <c r="G69" s="162"/>
      <c r="H69" s="162"/>
      <c r="O69" s="166"/>
      <c r="Q69" s="161"/>
    </row>
    <row r="70" spans="1:17" s="165" customFormat="1" x14ac:dyDescent="0.2">
      <c r="A70" s="169" t="s">
        <v>298</v>
      </c>
      <c r="B70" s="170"/>
      <c r="C70" s="170"/>
      <c r="D70" s="162">
        <f>+F67</f>
        <v>94665.072886297377</v>
      </c>
      <c r="E70" s="162" t="s">
        <v>39</v>
      </c>
      <c r="F70" s="164"/>
      <c r="G70" s="162"/>
      <c r="H70" s="162"/>
      <c r="I70" s="163">
        <v>0.85750000000000004</v>
      </c>
      <c r="J70" s="165">
        <f>20*30</f>
        <v>600</v>
      </c>
      <c r="K70" s="165">
        <f>10*30</f>
        <v>300</v>
      </c>
      <c r="M70" s="165">
        <f>110*9</f>
        <v>990</v>
      </c>
      <c r="O70" s="166"/>
      <c r="Q70" s="161"/>
    </row>
    <row r="71" spans="1:17" s="165" customFormat="1" x14ac:dyDescent="0.2">
      <c r="A71" s="171" t="s">
        <v>299</v>
      </c>
      <c r="B71" s="162"/>
      <c r="C71" s="162"/>
      <c r="D71" s="162">
        <f>B40</f>
        <v>300</v>
      </c>
      <c r="E71" s="162" t="s">
        <v>296</v>
      </c>
      <c r="F71" s="164"/>
      <c r="G71" s="162"/>
      <c r="H71" s="162"/>
      <c r="J71" s="165">
        <f>155-20</f>
        <v>135</v>
      </c>
      <c r="K71" s="165">
        <v>145</v>
      </c>
      <c r="M71" s="165">
        <f>SUM(M70:M70)</f>
        <v>990</v>
      </c>
      <c r="O71" s="166"/>
      <c r="Q71" s="161"/>
    </row>
    <row r="72" spans="1:17" s="165" customFormat="1" x14ac:dyDescent="0.2">
      <c r="A72" s="171" t="s">
        <v>300</v>
      </c>
      <c r="B72" s="162"/>
      <c r="C72" s="162"/>
      <c r="D72" s="162">
        <f>ROUND(D70/D71,2)</f>
        <v>315.55</v>
      </c>
      <c r="E72" s="162" t="s">
        <v>37</v>
      </c>
      <c r="F72" s="164"/>
      <c r="G72" s="162"/>
      <c r="J72" s="165">
        <f>135*13</f>
        <v>1755</v>
      </c>
      <c r="K72" s="165">
        <f>K71*13</f>
        <v>1885</v>
      </c>
      <c r="O72" s="166"/>
      <c r="Q72" s="161"/>
    </row>
    <row r="73" spans="1:17" x14ac:dyDescent="0.2">
      <c r="A73" s="6"/>
      <c r="B73" s="6"/>
      <c r="C73" s="6"/>
      <c r="D73" s="6"/>
      <c r="E73" s="6"/>
      <c r="H73" s="156"/>
      <c r="K73" s="1"/>
      <c r="L73" s="1"/>
    </row>
    <row r="74" spans="1:17" x14ac:dyDescent="0.2">
      <c r="K74" s="1"/>
      <c r="L74" s="1"/>
    </row>
    <row r="75" spans="1:17" x14ac:dyDescent="0.2">
      <c r="K75" s="1"/>
      <c r="L75" s="1"/>
    </row>
    <row r="76" spans="1:17" x14ac:dyDescent="0.2">
      <c r="K76" s="1"/>
      <c r="L76" s="1"/>
    </row>
  </sheetData>
  <mergeCells count="1">
    <mergeCell ref="A1:F1"/>
  </mergeCells>
  <pageMargins left="1.1023622047244095" right="0.51181102362204722" top="1.5748031496062993" bottom="0.78740157480314965" header="0.31496062992125984" footer="0.31496062992125984"/>
  <pageSetup paperSize="9" scale="70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J33"/>
  <sheetViews>
    <sheetView view="pageBreakPreview" zoomScale="85" zoomScaleNormal="100" zoomScaleSheetLayoutView="85" workbookViewId="0">
      <selection activeCell="C4" sqref="C4"/>
    </sheetView>
  </sheetViews>
  <sheetFormatPr defaultRowHeight="15" x14ac:dyDescent="0.25"/>
  <cols>
    <col min="1" max="1" width="4.33203125" style="188" customWidth="1"/>
    <col min="2" max="2" width="7.33203125" style="188" customWidth="1"/>
    <col min="3" max="3" width="47.33203125" style="188" customWidth="1"/>
    <col min="4" max="4" width="10.83203125" style="188" customWidth="1"/>
    <col min="5" max="5" width="9.33203125" style="188"/>
    <col min="6" max="6" width="12.33203125" style="188" bestFit="1" customWidth="1"/>
    <col min="7" max="7" width="16.33203125" style="188" customWidth="1"/>
    <col min="8" max="9" width="9.33203125" style="188"/>
    <col min="10" max="10" width="11.1640625" style="188" bestFit="1" customWidth="1"/>
    <col min="11" max="256" width="9.33203125" style="188"/>
    <col min="257" max="257" width="4.33203125" style="188" customWidth="1"/>
    <col min="258" max="258" width="7.33203125" style="188" customWidth="1"/>
    <col min="259" max="259" width="47.33203125" style="188" customWidth="1"/>
    <col min="260" max="260" width="10.83203125" style="188" customWidth="1"/>
    <col min="261" max="261" width="9.33203125" style="188"/>
    <col min="262" max="262" width="12.33203125" style="188" bestFit="1" customWidth="1"/>
    <col min="263" max="263" width="13" style="188" customWidth="1"/>
    <col min="264" max="265" width="9.33203125" style="188"/>
    <col min="266" max="266" width="11.1640625" style="188" bestFit="1" customWidth="1"/>
    <col min="267" max="512" width="9.33203125" style="188"/>
    <col min="513" max="513" width="4.33203125" style="188" customWidth="1"/>
    <col min="514" max="514" width="7.33203125" style="188" customWidth="1"/>
    <col min="515" max="515" width="47.33203125" style="188" customWidth="1"/>
    <col min="516" max="516" width="10.83203125" style="188" customWidth="1"/>
    <col min="517" max="517" width="9.33203125" style="188"/>
    <col min="518" max="518" width="12.33203125" style="188" bestFit="1" customWidth="1"/>
    <col min="519" max="519" width="13" style="188" customWidth="1"/>
    <col min="520" max="521" width="9.33203125" style="188"/>
    <col min="522" max="522" width="11.1640625" style="188" bestFit="1" customWidth="1"/>
    <col min="523" max="768" width="9.33203125" style="188"/>
    <col min="769" max="769" width="4.33203125" style="188" customWidth="1"/>
    <col min="770" max="770" width="7.33203125" style="188" customWidth="1"/>
    <col min="771" max="771" width="47.33203125" style="188" customWidth="1"/>
    <col min="772" max="772" width="10.83203125" style="188" customWidth="1"/>
    <col min="773" max="773" width="9.33203125" style="188"/>
    <col min="774" max="774" width="12.33203125" style="188" bestFit="1" customWidth="1"/>
    <col min="775" max="775" width="13" style="188" customWidth="1"/>
    <col min="776" max="777" width="9.33203125" style="188"/>
    <col min="778" max="778" width="11.1640625" style="188" bestFit="1" customWidth="1"/>
    <col min="779" max="1024" width="9.33203125" style="188"/>
    <col min="1025" max="1025" width="4.33203125" style="188" customWidth="1"/>
    <col min="1026" max="1026" width="7.33203125" style="188" customWidth="1"/>
    <col min="1027" max="1027" width="47.33203125" style="188" customWidth="1"/>
    <col min="1028" max="1028" width="10.83203125" style="188" customWidth="1"/>
    <col min="1029" max="1029" width="9.33203125" style="188"/>
    <col min="1030" max="1030" width="12.33203125" style="188" bestFit="1" customWidth="1"/>
    <col min="1031" max="1031" width="13" style="188" customWidth="1"/>
    <col min="1032" max="1033" width="9.33203125" style="188"/>
    <col min="1034" max="1034" width="11.1640625" style="188" bestFit="1" customWidth="1"/>
    <col min="1035" max="1280" width="9.33203125" style="188"/>
    <col min="1281" max="1281" width="4.33203125" style="188" customWidth="1"/>
    <col min="1282" max="1282" width="7.33203125" style="188" customWidth="1"/>
    <col min="1283" max="1283" width="47.33203125" style="188" customWidth="1"/>
    <col min="1284" max="1284" width="10.83203125" style="188" customWidth="1"/>
    <col min="1285" max="1285" width="9.33203125" style="188"/>
    <col min="1286" max="1286" width="12.33203125" style="188" bestFit="1" customWidth="1"/>
    <col min="1287" max="1287" width="13" style="188" customWidth="1"/>
    <col min="1288" max="1289" width="9.33203125" style="188"/>
    <col min="1290" max="1290" width="11.1640625" style="188" bestFit="1" customWidth="1"/>
    <col min="1291" max="1536" width="9.33203125" style="188"/>
    <col min="1537" max="1537" width="4.33203125" style="188" customWidth="1"/>
    <col min="1538" max="1538" width="7.33203125" style="188" customWidth="1"/>
    <col min="1539" max="1539" width="47.33203125" style="188" customWidth="1"/>
    <col min="1540" max="1540" width="10.83203125" style="188" customWidth="1"/>
    <col min="1541" max="1541" width="9.33203125" style="188"/>
    <col min="1542" max="1542" width="12.33203125" style="188" bestFit="1" customWidth="1"/>
    <col min="1543" max="1543" width="13" style="188" customWidth="1"/>
    <col min="1544" max="1545" width="9.33203125" style="188"/>
    <col min="1546" max="1546" width="11.1640625" style="188" bestFit="1" customWidth="1"/>
    <col min="1547" max="1792" width="9.33203125" style="188"/>
    <col min="1793" max="1793" width="4.33203125" style="188" customWidth="1"/>
    <col min="1794" max="1794" width="7.33203125" style="188" customWidth="1"/>
    <col min="1795" max="1795" width="47.33203125" style="188" customWidth="1"/>
    <col min="1796" max="1796" width="10.83203125" style="188" customWidth="1"/>
    <col min="1797" max="1797" width="9.33203125" style="188"/>
    <col min="1798" max="1798" width="12.33203125" style="188" bestFit="1" customWidth="1"/>
    <col min="1799" max="1799" width="13" style="188" customWidth="1"/>
    <col min="1800" max="1801" width="9.33203125" style="188"/>
    <col min="1802" max="1802" width="11.1640625" style="188" bestFit="1" customWidth="1"/>
    <col min="1803" max="2048" width="9.33203125" style="188"/>
    <col min="2049" max="2049" width="4.33203125" style="188" customWidth="1"/>
    <col min="2050" max="2050" width="7.33203125" style="188" customWidth="1"/>
    <col min="2051" max="2051" width="47.33203125" style="188" customWidth="1"/>
    <col min="2052" max="2052" width="10.83203125" style="188" customWidth="1"/>
    <col min="2053" max="2053" width="9.33203125" style="188"/>
    <col min="2054" max="2054" width="12.33203125" style="188" bestFit="1" customWidth="1"/>
    <col min="2055" max="2055" width="13" style="188" customWidth="1"/>
    <col min="2056" max="2057" width="9.33203125" style="188"/>
    <col min="2058" max="2058" width="11.1640625" style="188" bestFit="1" customWidth="1"/>
    <col min="2059" max="2304" width="9.33203125" style="188"/>
    <col min="2305" max="2305" width="4.33203125" style="188" customWidth="1"/>
    <col min="2306" max="2306" width="7.33203125" style="188" customWidth="1"/>
    <col min="2307" max="2307" width="47.33203125" style="188" customWidth="1"/>
    <col min="2308" max="2308" width="10.83203125" style="188" customWidth="1"/>
    <col min="2309" max="2309" width="9.33203125" style="188"/>
    <col min="2310" max="2310" width="12.33203125" style="188" bestFit="1" customWidth="1"/>
    <col min="2311" max="2311" width="13" style="188" customWidth="1"/>
    <col min="2312" max="2313" width="9.33203125" style="188"/>
    <col min="2314" max="2314" width="11.1640625" style="188" bestFit="1" customWidth="1"/>
    <col min="2315" max="2560" width="9.33203125" style="188"/>
    <col min="2561" max="2561" width="4.33203125" style="188" customWidth="1"/>
    <col min="2562" max="2562" width="7.33203125" style="188" customWidth="1"/>
    <col min="2563" max="2563" width="47.33203125" style="188" customWidth="1"/>
    <col min="2564" max="2564" width="10.83203125" style="188" customWidth="1"/>
    <col min="2565" max="2565" width="9.33203125" style="188"/>
    <col min="2566" max="2566" width="12.33203125" style="188" bestFit="1" customWidth="1"/>
    <col min="2567" max="2567" width="13" style="188" customWidth="1"/>
    <col min="2568" max="2569" width="9.33203125" style="188"/>
    <col min="2570" max="2570" width="11.1640625" style="188" bestFit="1" customWidth="1"/>
    <col min="2571" max="2816" width="9.33203125" style="188"/>
    <col min="2817" max="2817" width="4.33203125" style="188" customWidth="1"/>
    <col min="2818" max="2818" width="7.33203125" style="188" customWidth="1"/>
    <col min="2819" max="2819" width="47.33203125" style="188" customWidth="1"/>
    <col min="2820" max="2820" width="10.83203125" style="188" customWidth="1"/>
    <col min="2821" max="2821" width="9.33203125" style="188"/>
    <col min="2822" max="2822" width="12.33203125" style="188" bestFit="1" customWidth="1"/>
    <col min="2823" max="2823" width="13" style="188" customWidth="1"/>
    <col min="2824" max="2825" width="9.33203125" style="188"/>
    <col min="2826" max="2826" width="11.1640625" style="188" bestFit="1" customWidth="1"/>
    <col min="2827" max="3072" width="9.33203125" style="188"/>
    <col min="3073" max="3073" width="4.33203125" style="188" customWidth="1"/>
    <col min="3074" max="3074" width="7.33203125" style="188" customWidth="1"/>
    <col min="3075" max="3075" width="47.33203125" style="188" customWidth="1"/>
    <col min="3076" max="3076" width="10.83203125" style="188" customWidth="1"/>
    <col min="3077" max="3077" width="9.33203125" style="188"/>
    <col min="3078" max="3078" width="12.33203125" style="188" bestFit="1" customWidth="1"/>
    <col min="3079" max="3079" width="13" style="188" customWidth="1"/>
    <col min="3080" max="3081" width="9.33203125" style="188"/>
    <col min="3082" max="3082" width="11.1640625" style="188" bestFit="1" customWidth="1"/>
    <col min="3083" max="3328" width="9.33203125" style="188"/>
    <col min="3329" max="3329" width="4.33203125" style="188" customWidth="1"/>
    <col min="3330" max="3330" width="7.33203125" style="188" customWidth="1"/>
    <col min="3331" max="3331" width="47.33203125" style="188" customWidth="1"/>
    <col min="3332" max="3332" width="10.83203125" style="188" customWidth="1"/>
    <col min="3333" max="3333" width="9.33203125" style="188"/>
    <col min="3334" max="3334" width="12.33203125" style="188" bestFit="1" customWidth="1"/>
    <col min="3335" max="3335" width="13" style="188" customWidth="1"/>
    <col min="3336" max="3337" width="9.33203125" style="188"/>
    <col min="3338" max="3338" width="11.1640625" style="188" bestFit="1" customWidth="1"/>
    <col min="3339" max="3584" width="9.33203125" style="188"/>
    <col min="3585" max="3585" width="4.33203125" style="188" customWidth="1"/>
    <col min="3586" max="3586" width="7.33203125" style="188" customWidth="1"/>
    <col min="3587" max="3587" width="47.33203125" style="188" customWidth="1"/>
    <col min="3588" max="3588" width="10.83203125" style="188" customWidth="1"/>
    <col min="3589" max="3589" width="9.33203125" style="188"/>
    <col min="3590" max="3590" width="12.33203125" style="188" bestFit="1" customWidth="1"/>
    <col min="3591" max="3591" width="13" style="188" customWidth="1"/>
    <col min="3592" max="3593" width="9.33203125" style="188"/>
    <col min="3594" max="3594" width="11.1640625" style="188" bestFit="1" customWidth="1"/>
    <col min="3595" max="3840" width="9.33203125" style="188"/>
    <col min="3841" max="3841" width="4.33203125" style="188" customWidth="1"/>
    <col min="3842" max="3842" width="7.33203125" style="188" customWidth="1"/>
    <col min="3843" max="3843" width="47.33203125" style="188" customWidth="1"/>
    <col min="3844" max="3844" width="10.83203125" style="188" customWidth="1"/>
    <col min="3845" max="3845" width="9.33203125" style="188"/>
    <col min="3846" max="3846" width="12.33203125" style="188" bestFit="1" customWidth="1"/>
    <col min="3847" max="3847" width="13" style="188" customWidth="1"/>
    <col min="3848" max="3849" width="9.33203125" style="188"/>
    <col min="3850" max="3850" width="11.1640625" style="188" bestFit="1" customWidth="1"/>
    <col min="3851" max="4096" width="9.33203125" style="188"/>
    <col min="4097" max="4097" width="4.33203125" style="188" customWidth="1"/>
    <col min="4098" max="4098" width="7.33203125" style="188" customWidth="1"/>
    <col min="4099" max="4099" width="47.33203125" style="188" customWidth="1"/>
    <col min="4100" max="4100" width="10.83203125" style="188" customWidth="1"/>
    <col min="4101" max="4101" width="9.33203125" style="188"/>
    <col min="4102" max="4102" width="12.33203125" style="188" bestFit="1" customWidth="1"/>
    <col min="4103" max="4103" width="13" style="188" customWidth="1"/>
    <col min="4104" max="4105" width="9.33203125" style="188"/>
    <col min="4106" max="4106" width="11.1640625" style="188" bestFit="1" customWidth="1"/>
    <col min="4107" max="4352" width="9.33203125" style="188"/>
    <col min="4353" max="4353" width="4.33203125" style="188" customWidth="1"/>
    <col min="4354" max="4354" width="7.33203125" style="188" customWidth="1"/>
    <col min="4355" max="4355" width="47.33203125" style="188" customWidth="1"/>
    <col min="4356" max="4356" width="10.83203125" style="188" customWidth="1"/>
    <col min="4357" max="4357" width="9.33203125" style="188"/>
    <col min="4358" max="4358" width="12.33203125" style="188" bestFit="1" customWidth="1"/>
    <col min="4359" max="4359" width="13" style="188" customWidth="1"/>
    <col min="4360" max="4361" width="9.33203125" style="188"/>
    <col min="4362" max="4362" width="11.1640625" style="188" bestFit="1" customWidth="1"/>
    <col min="4363" max="4608" width="9.33203125" style="188"/>
    <col min="4609" max="4609" width="4.33203125" style="188" customWidth="1"/>
    <col min="4610" max="4610" width="7.33203125" style="188" customWidth="1"/>
    <col min="4611" max="4611" width="47.33203125" style="188" customWidth="1"/>
    <col min="4612" max="4612" width="10.83203125" style="188" customWidth="1"/>
    <col min="4613" max="4613" width="9.33203125" style="188"/>
    <col min="4614" max="4614" width="12.33203125" style="188" bestFit="1" customWidth="1"/>
    <col min="4615" max="4615" width="13" style="188" customWidth="1"/>
    <col min="4616" max="4617" width="9.33203125" style="188"/>
    <col min="4618" max="4618" width="11.1640625" style="188" bestFit="1" customWidth="1"/>
    <col min="4619" max="4864" width="9.33203125" style="188"/>
    <col min="4865" max="4865" width="4.33203125" style="188" customWidth="1"/>
    <col min="4866" max="4866" width="7.33203125" style="188" customWidth="1"/>
    <col min="4867" max="4867" width="47.33203125" style="188" customWidth="1"/>
    <col min="4868" max="4868" width="10.83203125" style="188" customWidth="1"/>
    <col min="4869" max="4869" width="9.33203125" style="188"/>
    <col min="4870" max="4870" width="12.33203125" style="188" bestFit="1" customWidth="1"/>
    <col min="4871" max="4871" width="13" style="188" customWidth="1"/>
    <col min="4872" max="4873" width="9.33203125" style="188"/>
    <col min="4874" max="4874" width="11.1640625" style="188" bestFit="1" customWidth="1"/>
    <col min="4875" max="5120" width="9.33203125" style="188"/>
    <col min="5121" max="5121" width="4.33203125" style="188" customWidth="1"/>
    <col min="5122" max="5122" width="7.33203125" style="188" customWidth="1"/>
    <col min="5123" max="5123" width="47.33203125" style="188" customWidth="1"/>
    <col min="5124" max="5124" width="10.83203125" style="188" customWidth="1"/>
    <col min="5125" max="5125" width="9.33203125" style="188"/>
    <col min="5126" max="5126" width="12.33203125" style="188" bestFit="1" customWidth="1"/>
    <col min="5127" max="5127" width="13" style="188" customWidth="1"/>
    <col min="5128" max="5129" width="9.33203125" style="188"/>
    <col min="5130" max="5130" width="11.1640625" style="188" bestFit="1" customWidth="1"/>
    <col min="5131" max="5376" width="9.33203125" style="188"/>
    <col min="5377" max="5377" width="4.33203125" style="188" customWidth="1"/>
    <col min="5378" max="5378" width="7.33203125" style="188" customWidth="1"/>
    <col min="5379" max="5379" width="47.33203125" style="188" customWidth="1"/>
    <col min="5380" max="5380" width="10.83203125" style="188" customWidth="1"/>
    <col min="5381" max="5381" width="9.33203125" style="188"/>
    <col min="5382" max="5382" width="12.33203125" style="188" bestFit="1" customWidth="1"/>
    <col min="5383" max="5383" width="13" style="188" customWidth="1"/>
    <col min="5384" max="5385" width="9.33203125" style="188"/>
    <col min="5386" max="5386" width="11.1640625" style="188" bestFit="1" customWidth="1"/>
    <col min="5387" max="5632" width="9.33203125" style="188"/>
    <col min="5633" max="5633" width="4.33203125" style="188" customWidth="1"/>
    <col min="5634" max="5634" width="7.33203125" style="188" customWidth="1"/>
    <col min="5635" max="5635" width="47.33203125" style="188" customWidth="1"/>
    <col min="5636" max="5636" width="10.83203125" style="188" customWidth="1"/>
    <col min="5637" max="5637" width="9.33203125" style="188"/>
    <col min="5638" max="5638" width="12.33203125" style="188" bestFit="1" customWidth="1"/>
    <col min="5639" max="5639" width="13" style="188" customWidth="1"/>
    <col min="5640" max="5641" width="9.33203125" style="188"/>
    <col min="5642" max="5642" width="11.1640625" style="188" bestFit="1" customWidth="1"/>
    <col min="5643" max="5888" width="9.33203125" style="188"/>
    <col min="5889" max="5889" width="4.33203125" style="188" customWidth="1"/>
    <col min="5890" max="5890" width="7.33203125" style="188" customWidth="1"/>
    <col min="5891" max="5891" width="47.33203125" style="188" customWidth="1"/>
    <col min="5892" max="5892" width="10.83203125" style="188" customWidth="1"/>
    <col min="5893" max="5893" width="9.33203125" style="188"/>
    <col min="5894" max="5894" width="12.33203125" style="188" bestFit="1" customWidth="1"/>
    <col min="5895" max="5895" width="13" style="188" customWidth="1"/>
    <col min="5896" max="5897" width="9.33203125" style="188"/>
    <col min="5898" max="5898" width="11.1640625" style="188" bestFit="1" customWidth="1"/>
    <col min="5899" max="6144" width="9.33203125" style="188"/>
    <col min="6145" max="6145" width="4.33203125" style="188" customWidth="1"/>
    <col min="6146" max="6146" width="7.33203125" style="188" customWidth="1"/>
    <col min="6147" max="6147" width="47.33203125" style="188" customWidth="1"/>
    <col min="6148" max="6148" width="10.83203125" style="188" customWidth="1"/>
    <col min="6149" max="6149" width="9.33203125" style="188"/>
    <col min="6150" max="6150" width="12.33203125" style="188" bestFit="1" customWidth="1"/>
    <col min="6151" max="6151" width="13" style="188" customWidth="1"/>
    <col min="6152" max="6153" width="9.33203125" style="188"/>
    <col min="6154" max="6154" width="11.1640625" style="188" bestFit="1" customWidth="1"/>
    <col min="6155" max="6400" width="9.33203125" style="188"/>
    <col min="6401" max="6401" width="4.33203125" style="188" customWidth="1"/>
    <col min="6402" max="6402" width="7.33203125" style="188" customWidth="1"/>
    <col min="6403" max="6403" width="47.33203125" style="188" customWidth="1"/>
    <col min="6404" max="6404" width="10.83203125" style="188" customWidth="1"/>
    <col min="6405" max="6405" width="9.33203125" style="188"/>
    <col min="6406" max="6406" width="12.33203125" style="188" bestFit="1" customWidth="1"/>
    <col min="6407" max="6407" width="13" style="188" customWidth="1"/>
    <col min="6408" max="6409" width="9.33203125" style="188"/>
    <col min="6410" max="6410" width="11.1640625" style="188" bestFit="1" customWidth="1"/>
    <col min="6411" max="6656" width="9.33203125" style="188"/>
    <col min="6657" max="6657" width="4.33203125" style="188" customWidth="1"/>
    <col min="6658" max="6658" width="7.33203125" style="188" customWidth="1"/>
    <col min="6659" max="6659" width="47.33203125" style="188" customWidth="1"/>
    <col min="6660" max="6660" width="10.83203125" style="188" customWidth="1"/>
    <col min="6661" max="6661" width="9.33203125" style="188"/>
    <col min="6662" max="6662" width="12.33203125" style="188" bestFit="1" customWidth="1"/>
    <col min="6663" max="6663" width="13" style="188" customWidth="1"/>
    <col min="6664" max="6665" width="9.33203125" style="188"/>
    <col min="6666" max="6666" width="11.1640625" style="188" bestFit="1" customWidth="1"/>
    <col min="6667" max="6912" width="9.33203125" style="188"/>
    <col min="6913" max="6913" width="4.33203125" style="188" customWidth="1"/>
    <col min="6914" max="6914" width="7.33203125" style="188" customWidth="1"/>
    <col min="6915" max="6915" width="47.33203125" style="188" customWidth="1"/>
    <col min="6916" max="6916" width="10.83203125" style="188" customWidth="1"/>
    <col min="6917" max="6917" width="9.33203125" style="188"/>
    <col min="6918" max="6918" width="12.33203125" style="188" bestFit="1" customWidth="1"/>
    <col min="6919" max="6919" width="13" style="188" customWidth="1"/>
    <col min="6920" max="6921" width="9.33203125" style="188"/>
    <col min="6922" max="6922" width="11.1640625" style="188" bestFit="1" customWidth="1"/>
    <col min="6923" max="7168" width="9.33203125" style="188"/>
    <col min="7169" max="7169" width="4.33203125" style="188" customWidth="1"/>
    <col min="7170" max="7170" width="7.33203125" style="188" customWidth="1"/>
    <col min="7171" max="7171" width="47.33203125" style="188" customWidth="1"/>
    <col min="7172" max="7172" width="10.83203125" style="188" customWidth="1"/>
    <col min="7173" max="7173" width="9.33203125" style="188"/>
    <col min="7174" max="7174" width="12.33203125" style="188" bestFit="1" customWidth="1"/>
    <col min="7175" max="7175" width="13" style="188" customWidth="1"/>
    <col min="7176" max="7177" width="9.33203125" style="188"/>
    <col min="7178" max="7178" width="11.1640625" style="188" bestFit="1" customWidth="1"/>
    <col min="7179" max="7424" width="9.33203125" style="188"/>
    <col min="7425" max="7425" width="4.33203125" style="188" customWidth="1"/>
    <col min="7426" max="7426" width="7.33203125" style="188" customWidth="1"/>
    <col min="7427" max="7427" width="47.33203125" style="188" customWidth="1"/>
    <col min="7428" max="7428" width="10.83203125" style="188" customWidth="1"/>
    <col min="7429" max="7429" width="9.33203125" style="188"/>
    <col min="7430" max="7430" width="12.33203125" style="188" bestFit="1" customWidth="1"/>
    <col min="7431" max="7431" width="13" style="188" customWidth="1"/>
    <col min="7432" max="7433" width="9.33203125" style="188"/>
    <col min="7434" max="7434" width="11.1640625" style="188" bestFit="1" customWidth="1"/>
    <col min="7435" max="7680" width="9.33203125" style="188"/>
    <col min="7681" max="7681" width="4.33203125" style="188" customWidth="1"/>
    <col min="7682" max="7682" width="7.33203125" style="188" customWidth="1"/>
    <col min="7683" max="7683" width="47.33203125" style="188" customWidth="1"/>
    <col min="7684" max="7684" width="10.83203125" style="188" customWidth="1"/>
    <col min="7685" max="7685" width="9.33203125" style="188"/>
    <col min="7686" max="7686" width="12.33203125" style="188" bestFit="1" customWidth="1"/>
    <col min="7687" max="7687" width="13" style="188" customWidth="1"/>
    <col min="7688" max="7689" width="9.33203125" style="188"/>
    <col min="7690" max="7690" width="11.1640625" style="188" bestFit="1" customWidth="1"/>
    <col min="7691" max="7936" width="9.33203125" style="188"/>
    <col min="7937" max="7937" width="4.33203125" style="188" customWidth="1"/>
    <col min="7938" max="7938" width="7.33203125" style="188" customWidth="1"/>
    <col min="7939" max="7939" width="47.33203125" style="188" customWidth="1"/>
    <col min="7940" max="7940" width="10.83203125" style="188" customWidth="1"/>
    <col min="7941" max="7941" width="9.33203125" style="188"/>
    <col min="7942" max="7942" width="12.33203125" style="188" bestFit="1" customWidth="1"/>
    <col min="7943" max="7943" width="13" style="188" customWidth="1"/>
    <col min="7944" max="7945" width="9.33203125" style="188"/>
    <col min="7946" max="7946" width="11.1640625" style="188" bestFit="1" customWidth="1"/>
    <col min="7947" max="8192" width="9.33203125" style="188"/>
    <col min="8193" max="8193" width="4.33203125" style="188" customWidth="1"/>
    <col min="8194" max="8194" width="7.33203125" style="188" customWidth="1"/>
    <col min="8195" max="8195" width="47.33203125" style="188" customWidth="1"/>
    <col min="8196" max="8196" width="10.83203125" style="188" customWidth="1"/>
    <col min="8197" max="8197" width="9.33203125" style="188"/>
    <col min="8198" max="8198" width="12.33203125" style="188" bestFit="1" customWidth="1"/>
    <col min="8199" max="8199" width="13" style="188" customWidth="1"/>
    <col min="8200" max="8201" width="9.33203125" style="188"/>
    <col min="8202" max="8202" width="11.1640625" style="188" bestFit="1" customWidth="1"/>
    <col min="8203" max="8448" width="9.33203125" style="188"/>
    <col min="8449" max="8449" width="4.33203125" style="188" customWidth="1"/>
    <col min="8450" max="8450" width="7.33203125" style="188" customWidth="1"/>
    <col min="8451" max="8451" width="47.33203125" style="188" customWidth="1"/>
    <col min="8452" max="8452" width="10.83203125" style="188" customWidth="1"/>
    <col min="8453" max="8453" width="9.33203125" style="188"/>
    <col min="8454" max="8454" width="12.33203125" style="188" bestFit="1" customWidth="1"/>
    <col min="8455" max="8455" width="13" style="188" customWidth="1"/>
    <col min="8456" max="8457" width="9.33203125" style="188"/>
    <col min="8458" max="8458" width="11.1640625" style="188" bestFit="1" customWidth="1"/>
    <col min="8459" max="8704" width="9.33203125" style="188"/>
    <col min="8705" max="8705" width="4.33203125" style="188" customWidth="1"/>
    <col min="8706" max="8706" width="7.33203125" style="188" customWidth="1"/>
    <col min="8707" max="8707" width="47.33203125" style="188" customWidth="1"/>
    <col min="8708" max="8708" width="10.83203125" style="188" customWidth="1"/>
    <col min="8709" max="8709" width="9.33203125" style="188"/>
    <col min="8710" max="8710" width="12.33203125" style="188" bestFit="1" customWidth="1"/>
    <col min="8711" max="8711" width="13" style="188" customWidth="1"/>
    <col min="8712" max="8713" width="9.33203125" style="188"/>
    <col min="8714" max="8714" width="11.1640625" style="188" bestFit="1" customWidth="1"/>
    <col min="8715" max="8960" width="9.33203125" style="188"/>
    <col min="8961" max="8961" width="4.33203125" style="188" customWidth="1"/>
    <col min="8962" max="8962" width="7.33203125" style="188" customWidth="1"/>
    <col min="8963" max="8963" width="47.33203125" style="188" customWidth="1"/>
    <col min="8964" max="8964" width="10.83203125" style="188" customWidth="1"/>
    <col min="8965" max="8965" width="9.33203125" style="188"/>
    <col min="8966" max="8966" width="12.33203125" style="188" bestFit="1" customWidth="1"/>
    <col min="8967" max="8967" width="13" style="188" customWidth="1"/>
    <col min="8968" max="8969" width="9.33203125" style="188"/>
    <col min="8970" max="8970" width="11.1640625" style="188" bestFit="1" customWidth="1"/>
    <col min="8971" max="9216" width="9.33203125" style="188"/>
    <col min="9217" max="9217" width="4.33203125" style="188" customWidth="1"/>
    <col min="9218" max="9218" width="7.33203125" style="188" customWidth="1"/>
    <col min="9219" max="9219" width="47.33203125" style="188" customWidth="1"/>
    <col min="9220" max="9220" width="10.83203125" style="188" customWidth="1"/>
    <col min="9221" max="9221" width="9.33203125" style="188"/>
    <col min="9222" max="9222" width="12.33203125" style="188" bestFit="1" customWidth="1"/>
    <col min="9223" max="9223" width="13" style="188" customWidth="1"/>
    <col min="9224" max="9225" width="9.33203125" style="188"/>
    <col min="9226" max="9226" width="11.1640625" style="188" bestFit="1" customWidth="1"/>
    <col min="9227" max="9472" width="9.33203125" style="188"/>
    <col min="9473" max="9473" width="4.33203125" style="188" customWidth="1"/>
    <col min="9474" max="9474" width="7.33203125" style="188" customWidth="1"/>
    <col min="9475" max="9475" width="47.33203125" style="188" customWidth="1"/>
    <col min="9476" max="9476" width="10.83203125" style="188" customWidth="1"/>
    <col min="9477" max="9477" width="9.33203125" style="188"/>
    <col min="9478" max="9478" width="12.33203125" style="188" bestFit="1" customWidth="1"/>
    <col min="9479" max="9479" width="13" style="188" customWidth="1"/>
    <col min="9480" max="9481" width="9.33203125" style="188"/>
    <col min="9482" max="9482" width="11.1640625" style="188" bestFit="1" customWidth="1"/>
    <col min="9483" max="9728" width="9.33203125" style="188"/>
    <col min="9729" max="9729" width="4.33203125" style="188" customWidth="1"/>
    <col min="9730" max="9730" width="7.33203125" style="188" customWidth="1"/>
    <col min="9731" max="9731" width="47.33203125" style="188" customWidth="1"/>
    <col min="9732" max="9732" width="10.83203125" style="188" customWidth="1"/>
    <col min="9733" max="9733" width="9.33203125" style="188"/>
    <col min="9734" max="9734" width="12.33203125" style="188" bestFit="1" customWidth="1"/>
    <col min="9735" max="9735" width="13" style="188" customWidth="1"/>
    <col min="9736" max="9737" width="9.33203125" style="188"/>
    <col min="9738" max="9738" width="11.1640625" style="188" bestFit="1" customWidth="1"/>
    <col min="9739" max="9984" width="9.33203125" style="188"/>
    <col min="9985" max="9985" width="4.33203125" style="188" customWidth="1"/>
    <col min="9986" max="9986" width="7.33203125" style="188" customWidth="1"/>
    <col min="9987" max="9987" width="47.33203125" style="188" customWidth="1"/>
    <col min="9988" max="9988" width="10.83203125" style="188" customWidth="1"/>
    <col min="9989" max="9989" width="9.33203125" style="188"/>
    <col min="9990" max="9990" width="12.33203125" style="188" bestFit="1" customWidth="1"/>
    <col min="9991" max="9991" width="13" style="188" customWidth="1"/>
    <col min="9992" max="9993" width="9.33203125" style="188"/>
    <col min="9994" max="9994" width="11.1640625" style="188" bestFit="1" customWidth="1"/>
    <col min="9995" max="10240" width="9.33203125" style="188"/>
    <col min="10241" max="10241" width="4.33203125" style="188" customWidth="1"/>
    <col min="10242" max="10242" width="7.33203125" style="188" customWidth="1"/>
    <col min="10243" max="10243" width="47.33203125" style="188" customWidth="1"/>
    <col min="10244" max="10244" width="10.83203125" style="188" customWidth="1"/>
    <col min="10245" max="10245" width="9.33203125" style="188"/>
    <col min="10246" max="10246" width="12.33203125" style="188" bestFit="1" customWidth="1"/>
    <col min="10247" max="10247" width="13" style="188" customWidth="1"/>
    <col min="10248" max="10249" width="9.33203125" style="188"/>
    <col min="10250" max="10250" width="11.1640625" style="188" bestFit="1" customWidth="1"/>
    <col min="10251" max="10496" width="9.33203125" style="188"/>
    <col min="10497" max="10497" width="4.33203125" style="188" customWidth="1"/>
    <col min="10498" max="10498" width="7.33203125" style="188" customWidth="1"/>
    <col min="10499" max="10499" width="47.33203125" style="188" customWidth="1"/>
    <col min="10500" max="10500" width="10.83203125" style="188" customWidth="1"/>
    <col min="10501" max="10501" width="9.33203125" style="188"/>
    <col min="10502" max="10502" width="12.33203125" style="188" bestFit="1" customWidth="1"/>
    <col min="10503" max="10503" width="13" style="188" customWidth="1"/>
    <col min="10504" max="10505" width="9.33203125" style="188"/>
    <col min="10506" max="10506" width="11.1640625" style="188" bestFit="1" customWidth="1"/>
    <col min="10507" max="10752" width="9.33203125" style="188"/>
    <col min="10753" max="10753" width="4.33203125" style="188" customWidth="1"/>
    <col min="10754" max="10754" width="7.33203125" style="188" customWidth="1"/>
    <col min="10755" max="10755" width="47.33203125" style="188" customWidth="1"/>
    <col min="10756" max="10756" width="10.83203125" style="188" customWidth="1"/>
    <col min="10757" max="10757" width="9.33203125" style="188"/>
    <col min="10758" max="10758" width="12.33203125" style="188" bestFit="1" customWidth="1"/>
    <col min="10759" max="10759" width="13" style="188" customWidth="1"/>
    <col min="10760" max="10761" width="9.33203125" style="188"/>
    <col min="10762" max="10762" width="11.1640625" style="188" bestFit="1" customWidth="1"/>
    <col min="10763" max="11008" width="9.33203125" style="188"/>
    <col min="11009" max="11009" width="4.33203125" style="188" customWidth="1"/>
    <col min="11010" max="11010" width="7.33203125" style="188" customWidth="1"/>
    <col min="11011" max="11011" width="47.33203125" style="188" customWidth="1"/>
    <col min="11012" max="11012" width="10.83203125" style="188" customWidth="1"/>
    <col min="11013" max="11013" width="9.33203125" style="188"/>
    <col min="11014" max="11014" width="12.33203125" style="188" bestFit="1" customWidth="1"/>
    <col min="11015" max="11015" width="13" style="188" customWidth="1"/>
    <col min="11016" max="11017" width="9.33203125" style="188"/>
    <col min="11018" max="11018" width="11.1640625" style="188" bestFit="1" customWidth="1"/>
    <col min="11019" max="11264" width="9.33203125" style="188"/>
    <col min="11265" max="11265" width="4.33203125" style="188" customWidth="1"/>
    <col min="11266" max="11266" width="7.33203125" style="188" customWidth="1"/>
    <col min="11267" max="11267" width="47.33203125" style="188" customWidth="1"/>
    <col min="11268" max="11268" width="10.83203125" style="188" customWidth="1"/>
    <col min="11269" max="11269" width="9.33203125" style="188"/>
    <col min="11270" max="11270" width="12.33203125" style="188" bestFit="1" customWidth="1"/>
    <col min="11271" max="11271" width="13" style="188" customWidth="1"/>
    <col min="11272" max="11273" width="9.33203125" style="188"/>
    <col min="11274" max="11274" width="11.1640625" style="188" bestFit="1" customWidth="1"/>
    <col min="11275" max="11520" width="9.33203125" style="188"/>
    <col min="11521" max="11521" width="4.33203125" style="188" customWidth="1"/>
    <col min="11522" max="11522" width="7.33203125" style="188" customWidth="1"/>
    <col min="11523" max="11523" width="47.33203125" style="188" customWidth="1"/>
    <col min="11524" max="11524" width="10.83203125" style="188" customWidth="1"/>
    <col min="11525" max="11525" width="9.33203125" style="188"/>
    <col min="11526" max="11526" width="12.33203125" style="188" bestFit="1" customWidth="1"/>
    <col min="11527" max="11527" width="13" style="188" customWidth="1"/>
    <col min="11528" max="11529" width="9.33203125" style="188"/>
    <col min="11530" max="11530" width="11.1640625" style="188" bestFit="1" customWidth="1"/>
    <col min="11531" max="11776" width="9.33203125" style="188"/>
    <col min="11777" max="11777" width="4.33203125" style="188" customWidth="1"/>
    <col min="11778" max="11778" width="7.33203125" style="188" customWidth="1"/>
    <col min="11779" max="11779" width="47.33203125" style="188" customWidth="1"/>
    <col min="11780" max="11780" width="10.83203125" style="188" customWidth="1"/>
    <col min="11781" max="11781" width="9.33203125" style="188"/>
    <col min="11782" max="11782" width="12.33203125" style="188" bestFit="1" customWidth="1"/>
    <col min="11783" max="11783" width="13" style="188" customWidth="1"/>
    <col min="11784" max="11785" width="9.33203125" style="188"/>
    <col min="11786" max="11786" width="11.1640625" style="188" bestFit="1" customWidth="1"/>
    <col min="11787" max="12032" width="9.33203125" style="188"/>
    <col min="12033" max="12033" width="4.33203125" style="188" customWidth="1"/>
    <col min="12034" max="12034" width="7.33203125" style="188" customWidth="1"/>
    <col min="12035" max="12035" width="47.33203125" style="188" customWidth="1"/>
    <col min="12036" max="12036" width="10.83203125" style="188" customWidth="1"/>
    <col min="12037" max="12037" width="9.33203125" style="188"/>
    <col min="12038" max="12038" width="12.33203125" style="188" bestFit="1" customWidth="1"/>
    <col min="12039" max="12039" width="13" style="188" customWidth="1"/>
    <col min="12040" max="12041" width="9.33203125" style="188"/>
    <col min="12042" max="12042" width="11.1640625" style="188" bestFit="1" customWidth="1"/>
    <col min="12043" max="12288" width="9.33203125" style="188"/>
    <col min="12289" max="12289" width="4.33203125" style="188" customWidth="1"/>
    <col min="12290" max="12290" width="7.33203125" style="188" customWidth="1"/>
    <col min="12291" max="12291" width="47.33203125" style="188" customWidth="1"/>
    <col min="12292" max="12292" width="10.83203125" style="188" customWidth="1"/>
    <col min="12293" max="12293" width="9.33203125" style="188"/>
    <col min="12294" max="12294" width="12.33203125" style="188" bestFit="1" customWidth="1"/>
    <col min="12295" max="12295" width="13" style="188" customWidth="1"/>
    <col min="12296" max="12297" width="9.33203125" style="188"/>
    <col min="12298" max="12298" width="11.1640625" style="188" bestFit="1" customWidth="1"/>
    <col min="12299" max="12544" width="9.33203125" style="188"/>
    <col min="12545" max="12545" width="4.33203125" style="188" customWidth="1"/>
    <col min="12546" max="12546" width="7.33203125" style="188" customWidth="1"/>
    <col min="12547" max="12547" width="47.33203125" style="188" customWidth="1"/>
    <col min="12548" max="12548" width="10.83203125" style="188" customWidth="1"/>
    <col min="12549" max="12549" width="9.33203125" style="188"/>
    <col min="12550" max="12550" width="12.33203125" style="188" bestFit="1" customWidth="1"/>
    <col min="12551" max="12551" width="13" style="188" customWidth="1"/>
    <col min="12552" max="12553" width="9.33203125" style="188"/>
    <col min="12554" max="12554" width="11.1640625" style="188" bestFit="1" customWidth="1"/>
    <col min="12555" max="12800" width="9.33203125" style="188"/>
    <col min="12801" max="12801" width="4.33203125" style="188" customWidth="1"/>
    <col min="12802" max="12802" width="7.33203125" style="188" customWidth="1"/>
    <col min="12803" max="12803" width="47.33203125" style="188" customWidth="1"/>
    <col min="12804" max="12804" width="10.83203125" style="188" customWidth="1"/>
    <col min="12805" max="12805" width="9.33203125" style="188"/>
    <col min="12806" max="12806" width="12.33203125" style="188" bestFit="1" customWidth="1"/>
    <col min="12807" max="12807" width="13" style="188" customWidth="1"/>
    <col min="12808" max="12809" width="9.33203125" style="188"/>
    <col min="12810" max="12810" width="11.1640625" style="188" bestFit="1" customWidth="1"/>
    <col min="12811" max="13056" width="9.33203125" style="188"/>
    <col min="13057" max="13057" width="4.33203125" style="188" customWidth="1"/>
    <col min="13058" max="13058" width="7.33203125" style="188" customWidth="1"/>
    <col min="13059" max="13059" width="47.33203125" style="188" customWidth="1"/>
    <col min="13060" max="13060" width="10.83203125" style="188" customWidth="1"/>
    <col min="13061" max="13061" width="9.33203125" style="188"/>
    <col min="13062" max="13062" width="12.33203125" style="188" bestFit="1" customWidth="1"/>
    <col min="13063" max="13063" width="13" style="188" customWidth="1"/>
    <col min="13064" max="13065" width="9.33203125" style="188"/>
    <col min="13066" max="13066" width="11.1640625" style="188" bestFit="1" customWidth="1"/>
    <col min="13067" max="13312" width="9.33203125" style="188"/>
    <col min="13313" max="13313" width="4.33203125" style="188" customWidth="1"/>
    <col min="13314" max="13314" width="7.33203125" style="188" customWidth="1"/>
    <col min="13315" max="13315" width="47.33203125" style="188" customWidth="1"/>
    <col min="13316" max="13316" width="10.83203125" style="188" customWidth="1"/>
    <col min="13317" max="13317" width="9.33203125" style="188"/>
    <col min="13318" max="13318" width="12.33203125" style="188" bestFit="1" customWidth="1"/>
    <col min="13319" max="13319" width="13" style="188" customWidth="1"/>
    <col min="13320" max="13321" width="9.33203125" style="188"/>
    <col min="13322" max="13322" width="11.1640625" style="188" bestFit="1" customWidth="1"/>
    <col min="13323" max="13568" width="9.33203125" style="188"/>
    <col min="13569" max="13569" width="4.33203125" style="188" customWidth="1"/>
    <col min="13570" max="13570" width="7.33203125" style="188" customWidth="1"/>
    <col min="13571" max="13571" width="47.33203125" style="188" customWidth="1"/>
    <col min="13572" max="13572" width="10.83203125" style="188" customWidth="1"/>
    <col min="13573" max="13573" width="9.33203125" style="188"/>
    <col min="13574" max="13574" width="12.33203125" style="188" bestFit="1" customWidth="1"/>
    <col min="13575" max="13575" width="13" style="188" customWidth="1"/>
    <col min="13576" max="13577" width="9.33203125" style="188"/>
    <col min="13578" max="13578" width="11.1640625" style="188" bestFit="1" customWidth="1"/>
    <col min="13579" max="13824" width="9.33203125" style="188"/>
    <col min="13825" max="13825" width="4.33203125" style="188" customWidth="1"/>
    <col min="13826" max="13826" width="7.33203125" style="188" customWidth="1"/>
    <col min="13827" max="13827" width="47.33203125" style="188" customWidth="1"/>
    <col min="13828" max="13828" width="10.83203125" style="188" customWidth="1"/>
    <col min="13829" max="13829" width="9.33203125" style="188"/>
    <col min="13830" max="13830" width="12.33203125" style="188" bestFit="1" customWidth="1"/>
    <col min="13831" max="13831" width="13" style="188" customWidth="1"/>
    <col min="13832" max="13833" width="9.33203125" style="188"/>
    <col min="13834" max="13834" width="11.1640625" style="188" bestFit="1" customWidth="1"/>
    <col min="13835" max="14080" width="9.33203125" style="188"/>
    <col min="14081" max="14081" width="4.33203125" style="188" customWidth="1"/>
    <col min="14082" max="14082" width="7.33203125" style="188" customWidth="1"/>
    <col min="14083" max="14083" width="47.33203125" style="188" customWidth="1"/>
    <col min="14084" max="14084" width="10.83203125" style="188" customWidth="1"/>
    <col min="14085" max="14085" width="9.33203125" style="188"/>
    <col min="14086" max="14086" width="12.33203125" style="188" bestFit="1" customWidth="1"/>
    <col min="14087" max="14087" width="13" style="188" customWidth="1"/>
    <col min="14088" max="14089" width="9.33203125" style="188"/>
    <col min="14090" max="14090" width="11.1640625" style="188" bestFit="1" customWidth="1"/>
    <col min="14091" max="14336" width="9.33203125" style="188"/>
    <col min="14337" max="14337" width="4.33203125" style="188" customWidth="1"/>
    <col min="14338" max="14338" width="7.33203125" style="188" customWidth="1"/>
    <col min="14339" max="14339" width="47.33203125" style="188" customWidth="1"/>
    <col min="14340" max="14340" width="10.83203125" style="188" customWidth="1"/>
    <col min="14341" max="14341" width="9.33203125" style="188"/>
    <col min="14342" max="14342" width="12.33203125" style="188" bestFit="1" customWidth="1"/>
    <col min="14343" max="14343" width="13" style="188" customWidth="1"/>
    <col min="14344" max="14345" width="9.33203125" style="188"/>
    <col min="14346" max="14346" width="11.1640625" style="188" bestFit="1" customWidth="1"/>
    <col min="14347" max="14592" width="9.33203125" style="188"/>
    <col min="14593" max="14593" width="4.33203125" style="188" customWidth="1"/>
    <col min="14594" max="14594" width="7.33203125" style="188" customWidth="1"/>
    <col min="14595" max="14595" width="47.33203125" style="188" customWidth="1"/>
    <col min="14596" max="14596" width="10.83203125" style="188" customWidth="1"/>
    <col min="14597" max="14597" width="9.33203125" style="188"/>
    <col min="14598" max="14598" width="12.33203125" style="188" bestFit="1" customWidth="1"/>
    <col min="14599" max="14599" width="13" style="188" customWidth="1"/>
    <col min="14600" max="14601" width="9.33203125" style="188"/>
    <col min="14602" max="14602" width="11.1640625" style="188" bestFit="1" customWidth="1"/>
    <col min="14603" max="14848" width="9.33203125" style="188"/>
    <col min="14849" max="14849" width="4.33203125" style="188" customWidth="1"/>
    <col min="14850" max="14850" width="7.33203125" style="188" customWidth="1"/>
    <col min="14851" max="14851" width="47.33203125" style="188" customWidth="1"/>
    <col min="14852" max="14852" width="10.83203125" style="188" customWidth="1"/>
    <col min="14853" max="14853" width="9.33203125" style="188"/>
    <col min="14854" max="14854" width="12.33203125" style="188" bestFit="1" customWidth="1"/>
    <col min="14855" max="14855" width="13" style="188" customWidth="1"/>
    <col min="14856" max="14857" width="9.33203125" style="188"/>
    <col min="14858" max="14858" width="11.1640625" style="188" bestFit="1" customWidth="1"/>
    <col min="14859" max="15104" width="9.33203125" style="188"/>
    <col min="15105" max="15105" width="4.33203125" style="188" customWidth="1"/>
    <col min="15106" max="15106" width="7.33203125" style="188" customWidth="1"/>
    <col min="15107" max="15107" width="47.33203125" style="188" customWidth="1"/>
    <col min="15108" max="15108" width="10.83203125" style="188" customWidth="1"/>
    <col min="15109" max="15109" width="9.33203125" style="188"/>
    <col min="15110" max="15110" width="12.33203125" style="188" bestFit="1" customWidth="1"/>
    <col min="15111" max="15111" width="13" style="188" customWidth="1"/>
    <col min="15112" max="15113" width="9.33203125" style="188"/>
    <col min="15114" max="15114" width="11.1640625" style="188" bestFit="1" customWidth="1"/>
    <col min="15115" max="15360" width="9.33203125" style="188"/>
    <col min="15361" max="15361" width="4.33203125" style="188" customWidth="1"/>
    <col min="15362" max="15362" width="7.33203125" style="188" customWidth="1"/>
    <col min="15363" max="15363" width="47.33203125" style="188" customWidth="1"/>
    <col min="15364" max="15364" width="10.83203125" style="188" customWidth="1"/>
    <col min="15365" max="15365" width="9.33203125" style="188"/>
    <col min="15366" max="15366" width="12.33203125" style="188" bestFit="1" customWidth="1"/>
    <col min="15367" max="15367" width="13" style="188" customWidth="1"/>
    <col min="15368" max="15369" width="9.33203125" style="188"/>
    <col min="15370" max="15370" width="11.1640625" style="188" bestFit="1" customWidth="1"/>
    <col min="15371" max="15616" width="9.33203125" style="188"/>
    <col min="15617" max="15617" width="4.33203125" style="188" customWidth="1"/>
    <col min="15618" max="15618" width="7.33203125" style="188" customWidth="1"/>
    <col min="15619" max="15619" width="47.33203125" style="188" customWidth="1"/>
    <col min="15620" max="15620" width="10.83203125" style="188" customWidth="1"/>
    <col min="15621" max="15621" width="9.33203125" style="188"/>
    <col min="15622" max="15622" width="12.33203125" style="188" bestFit="1" customWidth="1"/>
    <col min="15623" max="15623" width="13" style="188" customWidth="1"/>
    <col min="15624" max="15625" width="9.33203125" style="188"/>
    <col min="15626" max="15626" width="11.1640625" style="188" bestFit="1" customWidth="1"/>
    <col min="15627" max="15872" width="9.33203125" style="188"/>
    <col min="15873" max="15873" width="4.33203125" style="188" customWidth="1"/>
    <col min="15874" max="15874" width="7.33203125" style="188" customWidth="1"/>
    <col min="15875" max="15875" width="47.33203125" style="188" customWidth="1"/>
    <col min="15876" max="15876" width="10.83203125" style="188" customWidth="1"/>
    <col min="15877" max="15877" width="9.33203125" style="188"/>
    <col min="15878" max="15878" width="12.33203125" style="188" bestFit="1" customWidth="1"/>
    <col min="15879" max="15879" width="13" style="188" customWidth="1"/>
    <col min="15880" max="15881" width="9.33203125" style="188"/>
    <col min="15882" max="15882" width="11.1640625" style="188" bestFit="1" customWidth="1"/>
    <col min="15883" max="16128" width="9.33203125" style="188"/>
    <col min="16129" max="16129" width="4.33203125" style="188" customWidth="1"/>
    <col min="16130" max="16130" width="7.33203125" style="188" customWidth="1"/>
    <col min="16131" max="16131" width="47.33203125" style="188" customWidth="1"/>
    <col min="16132" max="16132" width="10.83203125" style="188" customWidth="1"/>
    <col min="16133" max="16133" width="9.33203125" style="188"/>
    <col min="16134" max="16134" width="12.33203125" style="188" bestFit="1" customWidth="1"/>
    <col min="16135" max="16135" width="13" style="188" customWidth="1"/>
    <col min="16136" max="16137" width="9.33203125" style="188"/>
    <col min="16138" max="16138" width="11.1640625" style="188" bestFit="1" customWidth="1"/>
    <col min="16139" max="16384" width="9.33203125" style="188"/>
  </cols>
  <sheetData>
    <row r="1" spans="2:10" ht="15.75" thickBot="1" x14ac:dyDescent="0.3"/>
    <row r="2" spans="2:10" ht="20.100000000000001" customHeight="1" x14ac:dyDescent="0.25">
      <c r="B2" s="365" t="s">
        <v>320</v>
      </c>
      <c r="C2" s="366"/>
      <c r="D2" s="366"/>
      <c r="E2" s="366"/>
      <c r="F2" s="366"/>
      <c r="G2" s="367"/>
    </row>
    <row r="3" spans="2:10" s="189" customFormat="1" ht="20.100000000000001" customHeight="1" thickBot="1" x14ac:dyDescent="0.25">
      <c r="B3" s="368" t="s">
        <v>321</v>
      </c>
      <c r="C3" s="369"/>
      <c r="D3" s="369"/>
      <c r="E3" s="369"/>
      <c r="F3" s="369"/>
      <c r="G3" s="370"/>
    </row>
    <row r="4" spans="2:10" s="194" customFormat="1" ht="30.75" thickBot="1" x14ac:dyDescent="0.25">
      <c r="B4" s="190" t="s">
        <v>175</v>
      </c>
      <c r="C4" s="191" t="s">
        <v>322</v>
      </c>
      <c r="D4" s="191" t="s">
        <v>323</v>
      </c>
      <c r="E4" s="191" t="s">
        <v>177</v>
      </c>
      <c r="F4" s="192" t="s">
        <v>324</v>
      </c>
      <c r="G4" s="193" t="s">
        <v>325</v>
      </c>
    </row>
    <row r="5" spans="2:10" s="194" customFormat="1" x14ac:dyDescent="0.25">
      <c r="B5" s="195">
        <v>1</v>
      </c>
      <c r="C5" s="371" t="s">
        <v>326</v>
      </c>
      <c r="D5" s="372"/>
      <c r="E5" s="372"/>
      <c r="F5" s="372"/>
      <c r="G5" s="373"/>
    </row>
    <row r="6" spans="2:10" s="189" customFormat="1" x14ac:dyDescent="0.25">
      <c r="B6" s="196" t="s">
        <v>327</v>
      </c>
      <c r="C6" s="197" t="s">
        <v>328</v>
      </c>
      <c r="D6" s="198" t="s">
        <v>329</v>
      </c>
      <c r="E6" s="199">
        <v>4</v>
      </c>
      <c r="F6" s="203">
        <f>+OPERAÇÃO!F12</f>
        <v>2336.1</v>
      </c>
      <c r="G6" s="200">
        <f>E6*F6</f>
        <v>9344.4</v>
      </c>
      <c r="J6" s="201"/>
    </row>
    <row r="7" spans="2:10" s="189" customFormat="1" x14ac:dyDescent="0.25">
      <c r="B7" s="196"/>
      <c r="C7" s="202" t="s">
        <v>330</v>
      </c>
      <c r="D7" s="198"/>
      <c r="E7" s="199"/>
      <c r="F7" s="203"/>
      <c r="G7" s="204">
        <f>SUM(G6)</f>
        <v>9344.4</v>
      </c>
    </row>
    <row r="8" spans="2:10" s="189" customFormat="1" x14ac:dyDescent="0.25">
      <c r="B8" s="196"/>
      <c r="C8" s="197"/>
      <c r="D8" s="197"/>
      <c r="E8" s="197"/>
      <c r="F8" s="203"/>
      <c r="G8" s="200"/>
    </row>
    <row r="9" spans="2:10" s="189" customFormat="1" x14ac:dyDescent="0.25">
      <c r="B9" s="205">
        <v>2</v>
      </c>
      <c r="C9" s="374" t="s">
        <v>331</v>
      </c>
      <c r="D9" s="375"/>
      <c r="E9" s="375"/>
      <c r="F9" s="375"/>
      <c r="G9" s="376"/>
    </row>
    <row r="10" spans="2:10" s="189" customFormat="1" x14ac:dyDescent="0.25">
      <c r="B10" s="196" t="s">
        <v>332</v>
      </c>
      <c r="C10" s="197" t="s">
        <v>333</v>
      </c>
      <c r="D10" s="198" t="s">
        <v>329</v>
      </c>
      <c r="E10" s="199">
        <v>1</v>
      </c>
      <c r="F10" s="203">
        <f>ROUND((71000*80%)/60,2)</f>
        <v>946.67</v>
      </c>
      <c r="G10" s="200">
        <f>E10*F10</f>
        <v>946.67</v>
      </c>
    </row>
    <row r="11" spans="2:10" s="189" customFormat="1" x14ac:dyDescent="0.25">
      <c r="B11" s="196"/>
      <c r="C11" s="206" t="s">
        <v>461</v>
      </c>
      <c r="D11" s="206"/>
      <c r="E11" s="197"/>
      <c r="F11" s="197"/>
      <c r="G11" s="207"/>
    </row>
    <row r="12" spans="2:10" s="189" customFormat="1" x14ac:dyDescent="0.25">
      <c r="B12" s="196"/>
      <c r="C12" s="206" t="s">
        <v>334</v>
      </c>
      <c r="D12" s="206"/>
      <c r="E12" s="197"/>
      <c r="F12" s="197"/>
      <c r="G12" s="207"/>
    </row>
    <row r="13" spans="2:10" s="189" customFormat="1" x14ac:dyDescent="0.25">
      <c r="B13" s="196"/>
      <c r="C13" s="206" t="s">
        <v>335</v>
      </c>
      <c r="D13" s="206"/>
      <c r="E13" s="197"/>
      <c r="F13" s="197"/>
      <c r="G13" s="207"/>
    </row>
    <row r="14" spans="2:10" s="189" customFormat="1" x14ac:dyDescent="0.25">
      <c r="B14" s="196"/>
      <c r="C14" s="206" t="s">
        <v>462</v>
      </c>
      <c r="D14" s="206"/>
      <c r="E14" s="197"/>
      <c r="F14" s="197"/>
      <c r="G14" s="207"/>
    </row>
    <row r="15" spans="2:10" s="189" customFormat="1" x14ac:dyDescent="0.25">
      <c r="B15" s="196"/>
      <c r="C15" s="202" t="s">
        <v>336</v>
      </c>
      <c r="D15" s="198"/>
      <c r="E15" s="199"/>
      <c r="F15" s="203"/>
      <c r="G15" s="204">
        <f>SUM(G10:G14)</f>
        <v>946.67</v>
      </c>
    </row>
    <row r="16" spans="2:10" s="189" customFormat="1" x14ac:dyDescent="0.25">
      <c r="B16" s="196"/>
      <c r="C16" s="197"/>
      <c r="D16" s="197"/>
      <c r="E16" s="197"/>
      <c r="F16" s="197"/>
      <c r="G16" s="207"/>
    </row>
    <row r="17" spans="2:9" s="189" customFormat="1" x14ac:dyDescent="0.25">
      <c r="B17" s="205">
        <v>3</v>
      </c>
      <c r="C17" s="374" t="s">
        <v>337</v>
      </c>
      <c r="D17" s="375"/>
      <c r="E17" s="375"/>
      <c r="F17" s="375"/>
      <c r="G17" s="376"/>
    </row>
    <row r="18" spans="2:9" s="189" customFormat="1" x14ac:dyDescent="0.25">
      <c r="B18" s="196" t="s">
        <v>338</v>
      </c>
      <c r="C18" s="197" t="s">
        <v>339</v>
      </c>
      <c r="D18" s="198" t="s">
        <v>329</v>
      </c>
      <c r="E18" s="199">
        <v>1</v>
      </c>
      <c r="F18" s="203">
        <f>12600/6</f>
        <v>2100</v>
      </c>
      <c r="G18" s="200">
        <f>E18*F18</f>
        <v>2100</v>
      </c>
    </row>
    <row r="19" spans="2:9" s="189" customFormat="1" x14ac:dyDescent="0.25">
      <c r="B19" s="196"/>
      <c r="C19" s="206" t="s">
        <v>465</v>
      </c>
      <c r="D19" s="206"/>
      <c r="E19" s="197"/>
      <c r="F19" s="197"/>
      <c r="G19" s="207"/>
      <c r="I19" s="189">
        <f>2100*6</f>
        <v>12600</v>
      </c>
    </row>
    <row r="20" spans="2:9" s="189" customFormat="1" x14ac:dyDescent="0.25">
      <c r="B20" s="196"/>
      <c r="C20" s="206" t="s">
        <v>466</v>
      </c>
      <c r="D20" s="206"/>
      <c r="E20" s="197"/>
      <c r="F20" s="197"/>
      <c r="G20" s="207"/>
    </row>
    <row r="21" spans="2:9" s="189" customFormat="1" x14ac:dyDescent="0.25">
      <c r="B21" s="196"/>
      <c r="C21" s="197"/>
      <c r="D21" s="197"/>
      <c r="E21" s="197"/>
      <c r="F21" s="197"/>
      <c r="G21" s="207"/>
    </row>
    <row r="22" spans="2:9" s="189" customFormat="1" x14ac:dyDescent="0.25">
      <c r="B22" s="196" t="s">
        <v>340</v>
      </c>
      <c r="C22" s="197" t="s">
        <v>341</v>
      </c>
      <c r="D22" s="198" t="s">
        <v>329</v>
      </c>
      <c r="E22" s="199">
        <v>1</v>
      </c>
      <c r="F22" s="203">
        <f>6000/12</f>
        <v>500</v>
      </c>
      <c r="G22" s="200">
        <f>F22*E22</f>
        <v>500</v>
      </c>
    </row>
    <row r="23" spans="2:9" s="189" customFormat="1" x14ac:dyDescent="0.25">
      <c r="B23" s="196"/>
      <c r="C23" s="206" t="s">
        <v>463</v>
      </c>
      <c r="D23" s="206"/>
      <c r="E23" s="197"/>
      <c r="F23" s="197"/>
      <c r="G23" s="207"/>
    </row>
    <row r="24" spans="2:9" s="189" customFormat="1" x14ac:dyDescent="0.25">
      <c r="B24" s="196"/>
      <c r="C24" s="206" t="s">
        <v>464</v>
      </c>
      <c r="D24" s="206"/>
      <c r="E24" s="197"/>
      <c r="F24" s="197"/>
      <c r="G24" s="207"/>
      <c r="I24" s="189">
        <f>500*12</f>
        <v>6000</v>
      </c>
    </row>
    <row r="25" spans="2:9" s="189" customFormat="1" x14ac:dyDescent="0.25">
      <c r="B25" s="196"/>
      <c r="C25" s="197"/>
      <c r="D25" s="197"/>
      <c r="E25" s="197"/>
      <c r="F25" s="197"/>
      <c r="G25" s="207"/>
    </row>
    <row r="26" spans="2:9" s="189" customFormat="1" x14ac:dyDescent="0.25">
      <c r="B26" s="196" t="s">
        <v>342</v>
      </c>
      <c r="C26" s="208" t="s">
        <v>343</v>
      </c>
      <c r="D26" s="198" t="s">
        <v>329</v>
      </c>
      <c r="E26" s="199">
        <v>1</v>
      </c>
      <c r="F26" s="203">
        <v>200</v>
      </c>
      <c r="G26" s="200">
        <f>E26*F26</f>
        <v>200</v>
      </c>
    </row>
    <row r="27" spans="2:9" s="189" customFormat="1" x14ac:dyDescent="0.25">
      <c r="B27" s="196"/>
      <c r="C27" s="202" t="s">
        <v>344</v>
      </c>
      <c r="D27" s="198"/>
      <c r="E27" s="199"/>
      <c r="F27" s="203"/>
      <c r="G27" s="204">
        <f>SUM(G18:G26)</f>
        <v>2800</v>
      </c>
    </row>
    <row r="28" spans="2:9" s="189" customFormat="1" ht="15.75" thickBot="1" x14ac:dyDescent="0.3">
      <c r="B28" s="209"/>
      <c r="C28" s="210"/>
      <c r="D28" s="210"/>
      <c r="E28" s="210"/>
      <c r="F28" s="210"/>
      <c r="G28" s="211"/>
    </row>
    <row r="29" spans="2:9" s="189" customFormat="1" x14ac:dyDescent="0.25">
      <c r="B29" s="212"/>
      <c r="C29" s="377" t="s">
        <v>345</v>
      </c>
      <c r="D29" s="378"/>
      <c r="E29" s="378"/>
      <c r="F29" s="379"/>
      <c r="G29" s="213">
        <f>G27+G15+G7</f>
        <v>13091.07</v>
      </c>
    </row>
    <row r="30" spans="2:9" s="189" customFormat="1" x14ac:dyDescent="0.25">
      <c r="B30" s="196"/>
      <c r="C30" s="359" t="s">
        <v>346</v>
      </c>
      <c r="D30" s="360"/>
      <c r="E30" s="360"/>
      <c r="F30" s="361"/>
      <c r="G30" s="214">
        <f>G29*29.25%</f>
        <v>3829.1379749999996</v>
      </c>
    </row>
    <row r="31" spans="2:9" s="189" customFormat="1" ht="15.75" thickBot="1" x14ac:dyDescent="0.3">
      <c r="B31" s="215"/>
      <c r="C31" s="362" t="s">
        <v>347</v>
      </c>
      <c r="D31" s="363"/>
      <c r="E31" s="363"/>
      <c r="F31" s="364"/>
      <c r="G31" s="216">
        <f>SUM(G29:G30)</f>
        <v>16920.207974999998</v>
      </c>
    </row>
    <row r="32" spans="2:9" s="189" customFormat="1" x14ac:dyDescent="0.2"/>
    <row r="33" s="189" customFormat="1" x14ac:dyDescent="0.2"/>
  </sheetData>
  <mergeCells count="8">
    <mergeCell ref="C30:F30"/>
    <mergeCell ref="C31:F31"/>
    <mergeCell ref="B2:G2"/>
    <mergeCell ref="B3:G3"/>
    <mergeCell ref="C5:G5"/>
    <mergeCell ref="C9:G9"/>
    <mergeCell ref="C17:G17"/>
    <mergeCell ref="C29:F29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D29"/>
  <sheetViews>
    <sheetView view="pageBreakPreview" topLeftCell="A10" zoomScaleNormal="100" zoomScaleSheetLayoutView="100" workbookViewId="0">
      <selection activeCell="B11" sqref="B11"/>
    </sheetView>
  </sheetViews>
  <sheetFormatPr defaultColWidth="9.33203125" defaultRowHeight="12.75" x14ac:dyDescent="0.2"/>
  <cols>
    <col min="1" max="1" width="9.33203125" style="1" customWidth="1"/>
    <col min="2" max="2" width="37.5" style="1" customWidth="1"/>
    <col min="3" max="3" width="15.5" style="1" customWidth="1"/>
    <col min="4" max="4" width="22.6640625" style="1" customWidth="1"/>
    <col min="5" max="16384" width="9.33203125" style="1"/>
  </cols>
  <sheetData>
    <row r="1" spans="1:4" ht="18" x14ac:dyDescent="0.25">
      <c r="A1" s="10" t="s">
        <v>211</v>
      </c>
    </row>
    <row r="2" spans="1:4" ht="18" x14ac:dyDescent="0.25">
      <c r="A2" s="11"/>
    </row>
    <row r="3" spans="1:4" x14ac:dyDescent="0.2">
      <c r="A3" s="13"/>
    </row>
    <row r="4" spans="1:4" x14ac:dyDescent="0.2">
      <c r="A4" s="12"/>
    </row>
    <row r="5" spans="1:4" ht="18" x14ac:dyDescent="0.25">
      <c r="A5" s="10" t="s">
        <v>211</v>
      </c>
    </row>
    <row r="6" spans="1:4" x14ac:dyDescent="0.2">
      <c r="A6" s="415" t="s">
        <v>171</v>
      </c>
      <c r="B6" s="415"/>
      <c r="C6" s="415"/>
    </row>
    <row r="8" spans="1:4" x14ac:dyDescent="0.2">
      <c r="A8" s="54" t="s">
        <v>99</v>
      </c>
      <c r="B8" s="54" t="s">
        <v>100</v>
      </c>
      <c r="C8" s="54" t="s">
        <v>101</v>
      </c>
      <c r="D8" s="54" t="s">
        <v>135</v>
      </c>
    </row>
    <row r="9" spans="1:4" ht="16.5" x14ac:dyDescent="0.25">
      <c r="A9" s="55">
        <v>1</v>
      </c>
      <c r="B9" s="56" t="s">
        <v>102</v>
      </c>
      <c r="C9" s="57">
        <v>95</v>
      </c>
      <c r="D9" s="58">
        <v>3</v>
      </c>
    </row>
    <row r="10" spans="1:4" ht="16.5" x14ac:dyDescent="0.25">
      <c r="A10" s="55">
        <v>2</v>
      </c>
      <c r="B10" s="56" t="s">
        <v>103</v>
      </c>
      <c r="C10" s="57">
        <v>38</v>
      </c>
      <c r="D10" s="58">
        <v>3</v>
      </c>
    </row>
    <row r="11" spans="1:4" ht="16.5" x14ac:dyDescent="0.25">
      <c r="A11" s="55">
        <v>3</v>
      </c>
      <c r="B11" s="56" t="s">
        <v>104</v>
      </c>
      <c r="C11" s="57">
        <v>29</v>
      </c>
      <c r="D11" s="58">
        <v>3</v>
      </c>
    </row>
    <row r="12" spans="1:4" ht="16.5" x14ac:dyDescent="0.25">
      <c r="A12" s="55">
        <v>4</v>
      </c>
      <c r="B12" s="56" t="s">
        <v>105</v>
      </c>
      <c r="C12" s="57">
        <v>9</v>
      </c>
      <c r="D12" s="58">
        <v>1</v>
      </c>
    </row>
    <row r="13" spans="1:4" ht="16.5" x14ac:dyDescent="0.25">
      <c r="A13" s="55">
        <v>5</v>
      </c>
      <c r="B13" s="56" t="s">
        <v>106</v>
      </c>
      <c r="C13" s="57">
        <v>33</v>
      </c>
      <c r="D13" s="58">
        <v>3</v>
      </c>
    </row>
    <row r="14" spans="1:4" ht="16.5" x14ac:dyDescent="0.25">
      <c r="A14" s="55">
        <v>6</v>
      </c>
      <c r="B14" s="56" t="s">
        <v>118</v>
      </c>
      <c r="C14" s="57">
        <v>80</v>
      </c>
      <c r="D14" s="58">
        <v>4</v>
      </c>
    </row>
    <row r="15" spans="1:4" ht="16.5" x14ac:dyDescent="0.25">
      <c r="A15" s="55">
        <v>7</v>
      </c>
      <c r="B15" s="56" t="s">
        <v>85</v>
      </c>
      <c r="C15" s="57">
        <v>420</v>
      </c>
      <c r="D15" s="58">
        <v>12</v>
      </c>
    </row>
    <row r="16" spans="1:4" ht="16.5" x14ac:dyDescent="0.25">
      <c r="A16" s="55">
        <v>8</v>
      </c>
      <c r="B16" s="56" t="s">
        <v>119</v>
      </c>
      <c r="C16" s="57">
        <v>35</v>
      </c>
      <c r="D16" s="58">
        <v>12</v>
      </c>
    </row>
    <row r="17" spans="1:4" ht="16.5" x14ac:dyDescent="0.25">
      <c r="A17" s="55">
        <v>9</v>
      </c>
      <c r="B17" s="56" t="s">
        <v>108</v>
      </c>
      <c r="C17" s="57">
        <v>12</v>
      </c>
      <c r="D17" s="58">
        <v>1</v>
      </c>
    </row>
    <row r="18" spans="1:4" ht="16.5" x14ac:dyDescent="0.25">
      <c r="A18" s="55">
        <v>10</v>
      </c>
      <c r="B18" s="56" t="s">
        <v>109</v>
      </c>
      <c r="C18" s="57">
        <v>18</v>
      </c>
      <c r="D18" s="58">
        <v>3</v>
      </c>
    </row>
    <row r="19" spans="1:4" ht="16.5" x14ac:dyDescent="0.25">
      <c r="A19" s="55">
        <v>11</v>
      </c>
      <c r="B19" s="56" t="s">
        <v>110</v>
      </c>
      <c r="C19" s="57">
        <v>55</v>
      </c>
      <c r="D19" s="58">
        <v>12</v>
      </c>
    </row>
    <row r="20" spans="1:4" ht="16.5" x14ac:dyDescent="0.25">
      <c r="A20" s="55">
        <v>12</v>
      </c>
      <c r="B20" s="56" t="s">
        <v>111</v>
      </c>
      <c r="C20" s="57">
        <v>27</v>
      </c>
      <c r="D20" s="58">
        <v>3</v>
      </c>
    </row>
    <row r="21" spans="1:4" ht="16.5" x14ac:dyDescent="0.25">
      <c r="A21" s="59" t="s">
        <v>158</v>
      </c>
      <c r="B21" s="56" t="s">
        <v>112</v>
      </c>
      <c r="C21" s="57">
        <v>24</v>
      </c>
      <c r="D21" s="58">
        <v>3</v>
      </c>
    </row>
    <row r="22" spans="1:4" ht="16.5" x14ac:dyDescent="0.25">
      <c r="A22" s="59" t="s">
        <v>159</v>
      </c>
      <c r="B22" s="56" t="s">
        <v>170</v>
      </c>
      <c r="C22" s="57">
        <v>2750</v>
      </c>
      <c r="D22" s="58">
        <v>12</v>
      </c>
    </row>
    <row r="23" spans="1:4" ht="16.5" x14ac:dyDescent="0.25">
      <c r="A23" s="59" t="s">
        <v>160</v>
      </c>
      <c r="B23" s="56" t="s">
        <v>113</v>
      </c>
      <c r="C23" s="57">
        <v>0.26</v>
      </c>
      <c r="D23" s="58" t="s">
        <v>73</v>
      </c>
    </row>
    <row r="24" spans="1:4" ht="16.5" x14ac:dyDescent="0.25">
      <c r="A24" s="59" t="s">
        <v>161</v>
      </c>
      <c r="B24" s="56" t="s">
        <v>130</v>
      </c>
      <c r="C24" s="57">
        <v>0.97</v>
      </c>
      <c r="D24" s="58" t="s">
        <v>73</v>
      </c>
    </row>
    <row r="25" spans="1:4" ht="16.5" x14ac:dyDescent="0.25">
      <c r="A25" s="59" t="s">
        <v>162</v>
      </c>
      <c r="B25" s="56" t="s">
        <v>114</v>
      </c>
      <c r="C25" s="57">
        <v>30</v>
      </c>
      <c r="D25" s="58">
        <v>12</v>
      </c>
    </row>
    <row r="26" spans="1:4" ht="16.5" x14ac:dyDescent="0.25">
      <c r="A26" s="59" t="s">
        <v>163</v>
      </c>
      <c r="B26" s="56" t="s">
        <v>115</v>
      </c>
      <c r="C26" s="57">
        <v>75</v>
      </c>
      <c r="D26" s="58">
        <v>3</v>
      </c>
    </row>
    <row r="27" spans="1:4" ht="16.5" x14ac:dyDescent="0.25">
      <c r="A27" s="59" t="s">
        <v>164</v>
      </c>
      <c r="B27" s="56" t="s">
        <v>116</v>
      </c>
      <c r="C27" s="57">
        <v>7</v>
      </c>
      <c r="D27" s="58">
        <v>2</v>
      </c>
    </row>
    <row r="28" spans="1:4" ht="16.5" x14ac:dyDescent="0.25">
      <c r="A28" s="59" t="s">
        <v>165</v>
      </c>
      <c r="B28" s="56" t="s">
        <v>117</v>
      </c>
      <c r="C28" s="57">
        <v>31</v>
      </c>
      <c r="D28" s="58">
        <v>3</v>
      </c>
    </row>
    <row r="29" spans="1:4" ht="16.5" x14ac:dyDescent="0.25">
      <c r="A29" s="59">
        <v>21</v>
      </c>
      <c r="B29" s="56" t="s">
        <v>187</v>
      </c>
      <c r="C29" s="57">
        <v>420</v>
      </c>
      <c r="D29" s="58">
        <v>12</v>
      </c>
    </row>
  </sheetData>
  <mergeCells count="1">
    <mergeCell ref="A6:C6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>
    <oddHeader>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K34"/>
  <sheetViews>
    <sheetView view="pageBreakPreview" topLeftCell="A16" zoomScaleNormal="100" zoomScaleSheetLayoutView="100" workbookViewId="0">
      <selection activeCell="F21" sqref="F21"/>
    </sheetView>
  </sheetViews>
  <sheetFormatPr defaultColWidth="8.83203125" defaultRowHeight="15" x14ac:dyDescent="0.25"/>
  <cols>
    <col min="1" max="1" width="6.1640625" style="218" customWidth="1"/>
    <col min="2" max="2" width="15" style="218" customWidth="1"/>
    <col min="3" max="3" width="42.1640625" style="218" customWidth="1"/>
    <col min="4" max="4" width="6.33203125" style="286" bestFit="1" customWidth="1"/>
    <col min="5" max="5" width="12.1640625" style="218" customWidth="1"/>
    <col min="6" max="6" width="13.1640625" style="218" customWidth="1"/>
    <col min="7" max="7" width="19.6640625" style="218" customWidth="1"/>
    <col min="8" max="8" width="12.6640625" style="256" customWidth="1"/>
    <col min="9" max="9" width="11.83203125" style="218" bestFit="1" customWidth="1"/>
    <col min="10" max="10" width="21.6640625" style="275" customWidth="1"/>
    <col min="11" max="16384" width="8.83203125" style="218"/>
  </cols>
  <sheetData>
    <row r="1" spans="1:11" ht="15.75" x14ac:dyDescent="0.25">
      <c r="A1" s="427" t="s">
        <v>348</v>
      </c>
      <c r="B1" s="428"/>
      <c r="C1" s="429"/>
      <c r="D1" s="429"/>
      <c r="E1" s="429"/>
      <c r="F1" s="429"/>
      <c r="G1" s="430"/>
      <c r="H1" s="217"/>
    </row>
    <row r="2" spans="1:11" ht="33.75" customHeight="1" thickBot="1" x14ac:dyDescent="0.3">
      <c r="A2" s="431" t="s">
        <v>391</v>
      </c>
      <c r="B2" s="432"/>
      <c r="C2" s="433"/>
      <c r="D2" s="433"/>
      <c r="E2" s="433"/>
      <c r="F2" s="433"/>
      <c r="G2" s="434"/>
      <c r="H2" s="217"/>
    </row>
    <row r="3" spans="1:11" s="236" customFormat="1" ht="20.100000000000001" customHeight="1" x14ac:dyDescent="0.2">
      <c r="A3" s="435" t="s">
        <v>350</v>
      </c>
      <c r="B3" s="436"/>
      <c r="C3" s="437"/>
      <c r="D3" s="437"/>
      <c r="E3" s="437"/>
      <c r="F3" s="437"/>
      <c r="G3" s="438"/>
      <c r="H3" s="235"/>
      <c r="J3" s="316"/>
    </row>
    <row r="4" spans="1:11" x14ac:dyDescent="0.25">
      <c r="A4" s="439" t="s">
        <v>175</v>
      </c>
      <c r="B4" s="439" t="s">
        <v>352</v>
      </c>
      <c r="C4" s="441" t="s">
        <v>322</v>
      </c>
      <c r="D4" s="441" t="s">
        <v>353</v>
      </c>
      <c r="E4" s="441" t="s">
        <v>354</v>
      </c>
      <c r="F4" s="443" t="s">
        <v>351</v>
      </c>
      <c r="G4" s="444"/>
      <c r="H4" s="222">
        <v>1.2</v>
      </c>
    </row>
    <row r="5" spans="1:11" x14ac:dyDescent="0.25">
      <c r="A5" s="440"/>
      <c r="B5" s="440"/>
      <c r="C5" s="442"/>
      <c r="D5" s="442"/>
      <c r="E5" s="442"/>
      <c r="F5" s="257" t="s">
        <v>355</v>
      </c>
      <c r="G5" s="258" t="s">
        <v>356</v>
      </c>
      <c r="H5" s="217"/>
    </row>
    <row r="6" spans="1:11" x14ac:dyDescent="0.25">
      <c r="A6" s="259">
        <v>1</v>
      </c>
      <c r="B6" s="260"/>
      <c r="C6" s="425" t="s">
        <v>392</v>
      </c>
      <c r="D6" s="425"/>
      <c r="E6" s="425"/>
      <c r="F6" s="425"/>
      <c r="G6" s="426"/>
      <c r="H6" s="217"/>
    </row>
    <row r="7" spans="1:11" ht="18.75" customHeight="1" x14ac:dyDescent="0.25">
      <c r="A7" s="261" t="s">
        <v>327</v>
      </c>
      <c r="B7" s="262" t="s">
        <v>441</v>
      </c>
      <c r="C7" s="263" t="s">
        <v>393</v>
      </c>
      <c r="D7" s="264" t="s">
        <v>181</v>
      </c>
      <c r="E7" s="265">
        <f>+OPERAÇÃO!G22</f>
        <v>5150</v>
      </c>
      <c r="F7" s="266">
        <f>OPERAÇÃO!G25</f>
        <v>64.340599999999995</v>
      </c>
      <c r="G7" s="267">
        <f>E7*F7</f>
        <v>331354.08999999997</v>
      </c>
      <c r="H7" s="217"/>
      <c r="J7" s="323" t="s">
        <v>459</v>
      </c>
    </row>
    <row r="8" spans="1:11" ht="30" customHeight="1" x14ac:dyDescent="0.25">
      <c r="A8" s="261" t="s">
        <v>394</v>
      </c>
      <c r="B8" s="262" t="str">
        <f>+B7</f>
        <v>composição</v>
      </c>
      <c r="C8" s="268" t="s">
        <v>395</v>
      </c>
      <c r="D8" s="264" t="s">
        <v>396</v>
      </c>
      <c r="E8" s="269">
        <v>1000</v>
      </c>
      <c r="F8" s="324">
        <v>75</v>
      </c>
      <c r="G8" s="267">
        <f>E8*F8</f>
        <v>75000</v>
      </c>
      <c r="H8" s="217"/>
    </row>
    <row r="9" spans="1:11" x14ac:dyDescent="0.25">
      <c r="A9" s="416" t="s">
        <v>397</v>
      </c>
      <c r="B9" s="417"/>
      <c r="C9" s="417"/>
      <c r="D9" s="417"/>
      <c r="E9" s="417"/>
      <c r="F9" s="417"/>
      <c r="G9" s="270">
        <f>SUM(G7:G8)</f>
        <v>406354.08999999997</v>
      </c>
      <c r="H9" s="217"/>
    </row>
    <row r="10" spans="1:11" ht="15" customHeight="1" x14ac:dyDescent="0.25">
      <c r="A10" s="271"/>
      <c r="B10" s="272"/>
      <c r="C10" s="445" t="s">
        <v>398</v>
      </c>
      <c r="D10" s="445"/>
      <c r="E10" s="445"/>
      <c r="F10" s="445"/>
      <c r="G10" s="270">
        <f>G9*12</f>
        <v>4876249.08</v>
      </c>
      <c r="H10" s="217"/>
    </row>
    <row r="11" spans="1:11" ht="15" customHeight="1" x14ac:dyDescent="0.25">
      <c r="A11" s="446"/>
      <c r="B11" s="447"/>
      <c r="C11" s="443"/>
      <c r="D11" s="443"/>
      <c r="E11" s="443"/>
      <c r="F11" s="443"/>
      <c r="G11" s="444"/>
      <c r="H11" s="217"/>
    </row>
    <row r="12" spans="1:11" s="236" customFormat="1" ht="20.100000000000001" customHeight="1" x14ac:dyDescent="0.2">
      <c r="A12" s="440" t="s">
        <v>399</v>
      </c>
      <c r="B12" s="448"/>
      <c r="C12" s="442"/>
      <c r="D12" s="442"/>
      <c r="E12" s="442"/>
      <c r="F12" s="442"/>
      <c r="G12" s="449"/>
      <c r="H12" s="235"/>
      <c r="J12" s="316"/>
    </row>
    <row r="13" spans="1:11" ht="15" customHeight="1" x14ac:dyDescent="0.25">
      <c r="A13" s="259">
        <v>2</v>
      </c>
      <c r="B13" s="310">
        <v>1.2925</v>
      </c>
      <c r="C13" s="425" t="s">
        <v>449</v>
      </c>
      <c r="D13" s="425"/>
      <c r="E13" s="425"/>
      <c r="F13" s="425"/>
      <c r="G13" s="426"/>
      <c r="H13" s="217"/>
      <c r="J13" s="322">
        <v>0.29249999999999998</v>
      </c>
    </row>
    <row r="14" spans="1:11" ht="27" customHeight="1" x14ac:dyDescent="0.25">
      <c r="A14" s="261" t="s">
        <v>332</v>
      </c>
      <c r="B14" s="262"/>
      <c r="C14" s="419" t="s">
        <v>401</v>
      </c>
      <c r="D14" s="420"/>
      <c r="E14" s="420"/>
      <c r="F14" s="420"/>
      <c r="G14" s="421"/>
      <c r="H14" s="217"/>
    </row>
    <row r="15" spans="1:11" ht="26.45" customHeight="1" x14ac:dyDescent="0.25">
      <c r="A15" s="261" t="s">
        <v>402</v>
      </c>
      <c r="B15" s="262" t="s">
        <v>403</v>
      </c>
      <c r="C15" s="268" t="s">
        <v>404</v>
      </c>
      <c r="D15" s="264" t="s">
        <v>405</v>
      </c>
      <c r="E15" s="273">
        <f>(((8.5+4)*1.5)/2)*(100+100+200+200)</f>
        <v>5625</v>
      </c>
      <c r="F15" s="265">
        <f>4.15*$B$13</f>
        <v>5.3638750000000002</v>
      </c>
      <c r="G15" s="274">
        <f t="shared" ref="G15:G21" si="0">ROUND(E15*F15,2)</f>
        <v>30171.8</v>
      </c>
      <c r="H15" s="240" t="s">
        <v>376</v>
      </c>
      <c r="I15" s="275"/>
      <c r="J15" s="320">
        <v>4.1500000000000004</v>
      </c>
      <c r="K15" s="218">
        <v>1</v>
      </c>
    </row>
    <row r="16" spans="1:11" ht="26.45" customHeight="1" x14ac:dyDescent="0.25">
      <c r="A16" s="261" t="s">
        <v>406</v>
      </c>
      <c r="B16" s="262" t="s">
        <v>407</v>
      </c>
      <c r="C16" s="268" t="s">
        <v>408</v>
      </c>
      <c r="D16" s="264" t="s">
        <v>405</v>
      </c>
      <c r="E16" s="273">
        <f>(((8.5+4)*1.5)/2)*(100+100+200+200)</f>
        <v>5625</v>
      </c>
      <c r="F16" s="265">
        <f>3.05*$B$13</f>
        <v>3.9421249999999999</v>
      </c>
      <c r="G16" s="274">
        <f t="shared" si="0"/>
        <v>22174.45</v>
      </c>
      <c r="H16" s="240" t="s">
        <v>376</v>
      </c>
      <c r="J16" s="320">
        <v>3.05</v>
      </c>
    </row>
    <row r="17" spans="1:10" ht="27" customHeight="1" x14ac:dyDescent="0.25">
      <c r="A17" s="261" t="s">
        <v>332</v>
      </c>
      <c r="B17" s="262"/>
      <c r="C17" s="419" t="s">
        <v>409</v>
      </c>
      <c r="D17" s="420"/>
      <c r="E17" s="420"/>
      <c r="F17" s="420"/>
      <c r="G17" s="421"/>
      <c r="H17" s="217"/>
    </row>
    <row r="18" spans="1:10" ht="38.25" x14ac:dyDescent="0.25">
      <c r="A18" s="261" t="s">
        <v>410</v>
      </c>
      <c r="B18" s="262" t="s">
        <v>411</v>
      </c>
      <c r="C18" s="268" t="s">
        <v>412</v>
      </c>
      <c r="D18" s="264" t="s">
        <v>413</v>
      </c>
      <c r="E18" s="273">
        <v>20000</v>
      </c>
      <c r="F18" s="265">
        <f>43.35*$B$13</f>
        <v>56.029875000000004</v>
      </c>
      <c r="G18" s="274">
        <f t="shared" si="0"/>
        <v>1120597.5</v>
      </c>
      <c r="H18" s="233" t="s">
        <v>360</v>
      </c>
      <c r="I18" s="241"/>
      <c r="J18" s="320">
        <v>43.35</v>
      </c>
    </row>
    <row r="19" spans="1:10" ht="32.450000000000003" customHeight="1" x14ac:dyDescent="0.25">
      <c r="A19" s="261" t="s">
        <v>414</v>
      </c>
      <c r="B19" s="262" t="s">
        <v>415</v>
      </c>
      <c r="C19" s="268" t="s">
        <v>416</v>
      </c>
      <c r="D19" s="264" t="s">
        <v>413</v>
      </c>
      <c r="E19" s="273">
        <v>20000</v>
      </c>
      <c r="F19" s="265">
        <f>11.13*$B$13</f>
        <v>14.385525000000001</v>
      </c>
      <c r="G19" s="274">
        <f t="shared" si="0"/>
        <v>287710.5</v>
      </c>
      <c r="H19" s="233" t="s">
        <v>360</v>
      </c>
      <c r="J19" s="320">
        <v>11.13</v>
      </c>
    </row>
    <row r="20" spans="1:10" ht="45" customHeight="1" x14ac:dyDescent="0.25">
      <c r="A20" s="261" t="s">
        <v>406</v>
      </c>
      <c r="B20" s="262" t="s">
        <v>403</v>
      </c>
      <c r="C20" s="268" t="s">
        <v>417</v>
      </c>
      <c r="D20" s="264" t="s">
        <v>405</v>
      </c>
      <c r="E20" s="273">
        <f>20000*0.5</f>
        <v>10000</v>
      </c>
      <c r="F20" s="265">
        <f>4.15*$B$13</f>
        <v>5.3638750000000002</v>
      </c>
      <c r="G20" s="274">
        <f t="shared" si="0"/>
        <v>53638.75</v>
      </c>
      <c r="H20" s="240" t="s">
        <v>376</v>
      </c>
      <c r="J20" s="320">
        <v>4.1500000000000004</v>
      </c>
    </row>
    <row r="21" spans="1:10" ht="38.25" x14ac:dyDescent="0.25">
      <c r="A21" s="261" t="s">
        <v>418</v>
      </c>
      <c r="B21" s="262" t="s">
        <v>407</v>
      </c>
      <c r="C21" s="268" t="s">
        <v>419</v>
      </c>
      <c r="D21" s="264" t="s">
        <v>405</v>
      </c>
      <c r="E21" s="273">
        <f>20000*0.5</f>
        <v>10000</v>
      </c>
      <c r="F21" s="265">
        <f>3.05*$B$13</f>
        <v>3.9421249999999999</v>
      </c>
      <c r="G21" s="274">
        <f t="shared" si="0"/>
        <v>39421.25</v>
      </c>
      <c r="H21" s="240" t="s">
        <v>376</v>
      </c>
      <c r="J21" s="320">
        <v>3.05</v>
      </c>
    </row>
    <row r="22" spans="1:10" x14ac:dyDescent="0.25">
      <c r="A22" s="416" t="s">
        <v>336</v>
      </c>
      <c r="B22" s="417"/>
      <c r="C22" s="417"/>
      <c r="D22" s="417"/>
      <c r="E22" s="417"/>
      <c r="F22" s="417"/>
      <c r="G22" s="276">
        <f>SUM(G15:G21)</f>
        <v>1553714.25</v>
      </c>
      <c r="H22" s="217"/>
    </row>
    <row r="23" spans="1:10" x14ac:dyDescent="0.25">
      <c r="A23" s="422"/>
      <c r="B23" s="423"/>
      <c r="C23" s="423"/>
      <c r="D23" s="423"/>
      <c r="E23" s="423"/>
      <c r="F23" s="423"/>
      <c r="G23" s="424"/>
      <c r="H23" s="235"/>
      <c r="J23" s="316"/>
    </row>
    <row r="24" spans="1:10" x14ac:dyDescent="0.25">
      <c r="A24" s="259">
        <v>3</v>
      </c>
      <c r="B24" s="260"/>
      <c r="C24" s="425" t="s">
        <v>420</v>
      </c>
      <c r="D24" s="425"/>
      <c r="E24" s="425"/>
      <c r="F24" s="425"/>
      <c r="G24" s="426"/>
      <c r="H24" s="235"/>
      <c r="J24" s="316"/>
    </row>
    <row r="25" spans="1:10" ht="67.5" customHeight="1" x14ac:dyDescent="0.25">
      <c r="A25" s="237" t="s">
        <v>421</v>
      </c>
      <c r="B25" s="238">
        <v>90778</v>
      </c>
      <c r="C25" s="277" t="s">
        <v>458</v>
      </c>
      <c r="D25" s="278" t="s">
        <v>423</v>
      </c>
      <c r="E25" s="279">
        <v>100</v>
      </c>
      <c r="F25" s="280">
        <f>105.4*7*$B$13</f>
        <v>953.6065000000001</v>
      </c>
      <c r="G25" s="274">
        <f t="shared" ref="G25:G31" si="1">ROUND(E25*F25,2)</f>
        <v>95360.65</v>
      </c>
      <c r="H25" s="281" t="s">
        <v>457</v>
      </c>
      <c r="J25" s="321">
        <f>105.4*7*1.2925</f>
        <v>953.6065000000001</v>
      </c>
    </row>
    <row r="26" spans="1:10" ht="54.75" customHeight="1" x14ac:dyDescent="0.25">
      <c r="A26" s="237" t="s">
        <v>424</v>
      </c>
      <c r="B26" s="238">
        <v>90778</v>
      </c>
      <c r="C26" s="277" t="s">
        <v>456</v>
      </c>
      <c r="D26" s="278" t="s">
        <v>426</v>
      </c>
      <c r="E26" s="279">
        <v>1</v>
      </c>
      <c r="F26" s="280">
        <f>OPERAÇÃO!F7*150*$B$13</f>
        <v>20434.424999999999</v>
      </c>
      <c r="G26" s="274">
        <f t="shared" si="1"/>
        <v>20434.43</v>
      </c>
      <c r="H26" s="281" t="s">
        <v>427</v>
      </c>
      <c r="J26" s="321">
        <f>105.4*150*1.2925</f>
        <v>20434.424999999999</v>
      </c>
    </row>
    <row r="27" spans="1:10" ht="114.75" x14ac:dyDescent="0.25">
      <c r="A27" s="237" t="s">
        <v>428</v>
      </c>
      <c r="B27" s="238" t="s">
        <v>429</v>
      </c>
      <c r="C27" s="277" t="s">
        <v>430</v>
      </c>
      <c r="D27" s="278" t="s">
        <v>44</v>
      </c>
      <c r="E27" s="279">
        <v>1200</v>
      </c>
      <c r="F27" s="280">
        <f>47.81*$B$13</f>
        <v>61.794425000000004</v>
      </c>
      <c r="G27" s="274">
        <f t="shared" si="1"/>
        <v>74153.31</v>
      </c>
      <c r="H27" s="233" t="s">
        <v>360</v>
      </c>
      <c r="J27" s="319">
        <v>47.81</v>
      </c>
    </row>
    <row r="28" spans="1:10" ht="51" x14ac:dyDescent="0.25">
      <c r="A28" s="237" t="s">
        <v>431</v>
      </c>
      <c r="B28" s="238">
        <v>4730</v>
      </c>
      <c r="C28" s="277" t="s">
        <v>432</v>
      </c>
      <c r="D28" s="278" t="s">
        <v>44</v>
      </c>
      <c r="E28" s="279">
        <f>(3.1416/4)*6*7</f>
        <v>32.986799999999995</v>
      </c>
      <c r="F28" s="280">
        <f>71.92*$B$13</f>
        <v>92.956599999999995</v>
      </c>
      <c r="G28" s="274">
        <f t="shared" si="1"/>
        <v>3066.34</v>
      </c>
      <c r="H28" s="281" t="s">
        <v>433</v>
      </c>
      <c r="J28" s="319">
        <v>71.92</v>
      </c>
    </row>
    <row r="29" spans="1:10" ht="38.25" x14ac:dyDescent="0.25">
      <c r="A29" s="237" t="s">
        <v>431</v>
      </c>
      <c r="B29" s="238">
        <v>7750</v>
      </c>
      <c r="C29" s="277" t="s">
        <v>434</v>
      </c>
      <c r="D29" s="278" t="s">
        <v>44</v>
      </c>
      <c r="E29" s="279">
        <v>7</v>
      </c>
      <c r="F29" s="280">
        <f>191*$B$13</f>
        <v>246.86750000000001</v>
      </c>
      <c r="G29" s="274">
        <f t="shared" si="1"/>
        <v>1728.07</v>
      </c>
      <c r="H29" s="281" t="s">
        <v>433</v>
      </c>
      <c r="J29" s="319">
        <v>191</v>
      </c>
    </row>
    <row r="30" spans="1:10" ht="63.75" x14ac:dyDescent="0.25">
      <c r="A30" s="237" t="s">
        <v>435</v>
      </c>
      <c r="B30" s="238" t="s">
        <v>436</v>
      </c>
      <c r="C30" s="277" t="s">
        <v>437</v>
      </c>
      <c r="D30" s="278" t="s">
        <v>44</v>
      </c>
      <c r="E30" s="279">
        <v>800</v>
      </c>
      <c r="F30" s="280">
        <f>78.48*$B$13</f>
        <v>101.4354</v>
      </c>
      <c r="G30" s="274">
        <f t="shared" si="1"/>
        <v>81148.320000000007</v>
      </c>
      <c r="H30" s="233" t="s">
        <v>360</v>
      </c>
      <c r="J30" s="319">
        <v>78.48</v>
      </c>
    </row>
    <row r="31" spans="1:10" ht="16.5" x14ac:dyDescent="0.25">
      <c r="A31" s="237" t="s">
        <v>438</v>
      </c>
      <c r="B31" s="238">
        <v>3322</v>
      </c>
      <c r="C31" s="282" t="s">
        <v>439</v>
      </c>
      <c r="D31" s="278" t="s">
        <v>413</v>
      </c>
      <c r="E31" s="279">
        <v>8000</v>
      </c>
      <c r="F31" s="280">
        <f>8*$B$13</f>
        <v>10.34</v>
      </c>
      <c r="G31" s="274">
        <f t="shared" si="1"/>
        <v>82720</v>
      </c>
      <c r="H31" s="281" t="s">
        <v>433</v>
      </c>
      <c r="J31" s="319">
        <v>8</v>
      </c>
    </row>
    <row r="32" spans="1:10" x14ac:dyDescent="0.25">
      <c r="A32" s="416" t="s">
        <v>344</v>
      </c>
      <c r="B32" s="417"/>
      <c r="C32" s="417"/>
      <c r="D32" s="417"/>
      <c r="E32" s="417"/>
      <c r="F32" s="417"/>
      <c r="G32" s="283">
        <f>SUM(G25:G31)</f>
        <v>358611.12</v>
      </c>
      <c r="H32" s="233"/>
      <c r="J32" s="317"/>
    </row>
    <row r="33" spans="1:10" ht="20.100000000000001" customHeight="1" x14ac:dyDescent="0.25">
      <c r="A33" s="416" t="s">
        <v>440</v>
      </c>
      <c r="B33" s="417"/>
      <c r="C33" s="417"/>
      <c r="D33" s="417"/>
      <c r="E33" s="417"/>
      <c r="F33" s="418"/>
      <c r="G33" s="284">
        <f>G10+G22+G32</f>
        <v>6788574.4500000002</v>
      </c>
      <c r="H33" s="326">
        <f>G32+G22</f>
        <v>1912325.37</v>
      </c>
      <c r="I33" s="246"/>
    </row>
    <row r="34" spans="1:10" s="255" customFormat="1" ht="13.5" thickBot="1" x14ac:dyDescent="0.25">
      <c r="A34" s="383" t="s">
        <v>390</v>
      </c>
      <c r="B34" s="384"/>
      <c r="C34" s="384"/>
      <c r="D34" s="384"/>
      <c r="E34" s="384"/>
      <c r="F34" s="384"/>
      <c r="G34" s="385"/>
      <c r="H34" s="285"/>
      <c r="J34" s="318"/>
    </row>
  </sheetData>
  <mergeCells count="23">
    <mergeCell ref="C13:G13"/>
    <mergeCell ref="A1:G1"/>
    <mergeCell ref="A2:G2"/>
    <mergeCell ref="A3:G3"/>
    <mergeCell ref="A4:A5"/>
    <mergeCell ref="B4:B5"/>
    <mergeCell ref="C4:C5"/>
    <mergeCell ref="D4:D5"/>
    <mergeCell ref="E4:E5"/>
    <mergeCell ref="F4:G4"/>
    <mergeCell ref="C6:G6"/>
    <mergeCell ref="A9:F9"/>
    <mergeCell ref="C10:F10"/>
    <mergeCell ref="A11:G11"/>
    <mergeCell ref="A12:G12"/>
    <mergeCell ref="A33:F33"/>
    <mergeCell ref="A34:G34"/>
    <mergeCell ref="C14:G14"/>
    <mergeCell ref="C17:G17"/>
    <mergeCell ref="A22:F22"/>
    <mergeCell ref="A23:G23"/>
    <mergeCell ref="C24:G24"/>
    <mergeCell ref="A32:F32"/>
  </mergeCells>
  <printOptions horizontalCentered="1"/>
  <pageMargins left="0.31496062992125984" right="0" top="0.78740157480314965" bottom="0.78740157480314965" header="0.31496062992125984" footer="0.31496062992125984"/>
  <pageSetup paperSize="9" scale="7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K50"/>
  <sheetViews>
    <sheetView tabSelected="1" view="pageBreakPreview" topLeftCell="A13" zoomScaleNormal="100" zoomScaleSheetLayoutView="100" workbookViewId="0">
      <selection activeCell="F16" sqref="F16"/>
    </sheetView>
  </sheetViews>
  <sheetFormatPr defaultColWidth="10.6640625" defaultRowHeight="12.75" x14ac:dyDescent="0.2"/>
  <cols>
    <col min="1" max="1" width="9.83203125" style="50" customWidth="1"/>
    <col min="2" max="2" width="25.5" style="3" customWidth="1"/>
    <col min="3" max="3" width="10" style="3" customWidth="1"/>
    <col min="4" max="4" width="12.1640625" style="50" customWidth="1"/>
    <col min="5" max="5" width="17" style="353" bestFit="1" customWidth="1"/>
    <col min="6" max="6" width="18.83203125" style="3" customWidth="1"/>
    <col min="7" max="7" width="19.1640625" style="3" customWidth="1"/>
    <col min="8" max="8" width="17.5" style="3" customWidth="1"/>
    <col min="9" max="9" width="21.5" style="3" customWidth="1"/>
    <col min="10" max="10" width="19.5" style="3" bestFit="1" customWidth="1"/>
    <col min="11" max="11" width="14.6640625" style="3" bestFit="1" customWidth="1"/>
    <col min="12" max="16384" width="10.6640625" style="3"/>
  </cols>
  <sheetData>
    <row r="1" spans="1:11" ht="23.25" x14ac:dyDescent="0.35">
      <c r="A1" s="450" t="str">
        <f>+PREÇOS!A1</f>
        <v>PREFEITURA MUNICIPAL DE VARZEA GRANDE</v>
      </c>
      <c r="B1" s="450"/>
      <c r="C1" s="450"/>
      <c r="D1" s="450"/>
      <c r="E1" s="450"/>
      <c r="F1" s="450"/>
      <c r="G1" s="295"/>
    </row>
    <row r="2" spans="1:11" ht="25.7" customHeight="1" x14ac:dyDescent="0.2"/>
    <row r="3" spans="1:11" ht="28.5" customHeight="1" x14ac:dyDescent="0.3">
      <c r="A3" s="451" t="s">
        <v>174</v>
      </c>
      <c r="B3" s="451"/>
      <c r="C3" s="451"/>
      <c r="D3" s="451"/>
      <c r="E3" s="451"/>
      <c r="F3" s="451"/>
      <c r="G3" s="295"/>
    </row>
    <row r="4" spans="1:11" ht="19.5" x14ac:dyDescent="0.3">
      <c r="A4" s="451"/>
      <c r="B4" s="451"/>
      <c r="C4" s="451"/>
      <c r="D4" s="451"/>
      <c r="E4" s="451"/>
      <c r="F4" s="451"/>
      <c r="G4" s="295"/>
    </row>
    <row r="5" spans="1:11" ht="16.5" thickBot="1" x14ac:dyDescent="0.3">
      <c r="A5" s="458" t="s">
        <v>455</v>
      </c>
      <c r="B5" s="458"/>
      <c r="C5" s="458"/>
      <c r="D5" s="458"/>
      <c r="E5" s="458"/>
      <c r="F5" s="458"/>
      <c r="G5" s="295"/>
    </row>
    <row r="6" spans="1:11" s="4" customFormat="1" x14ac:dyDescent="0.2">
      <c r="A6" s="462" t="s">
        <v>175</v>
      </c>
      <c r="B6" s="452" t="s">
        <v>176</v>
      </c>
      <c r="C6" s="452" t="s">
        <v>177</v>
      </c>
      <c r="D6" s="452" t="s">
        <v>178</v>
      </c>
      <c r="E6" s="454" t="s">
        <v>179</v>
      </c>
      <c r="F6" s="456" t="s">
        <v>468</v>
      </c>
      <c r="G6" s="456" t="s">
        <v>467</v>
      </c>
    </row>
    <row r="7" spans="1:11" s="4" customFormat="1" ht="13.5" thickBot="1" x14ac:dyDescent="0.25">
      <c r="A7" s="463"/>
      <c r="B7" s="453"/>
      <c r="C7" s="453"/>
      <c r="D7" s="453"/>
      <c r="E7" s="455"/>
      <c r="F7" s="457"/>
      <c r="G7" s="457"/>
    </row>
    <row r="8" spans="1:11" s="40" customFormat="1" ht="87" customHeight="1" x14ac:dyDescent="0.2">
      <c r="A8" s="114" t="s">
        <v>260</v>
      </c>
      <c r="B8" s="115" t="s">
        <v>444</v>
      </c>
      <c r="C8" s="120">
        <f>+DOMICILIAR!D76</f>
        <v>5150</v>
      </c>
      <c r="D8" s="117" t="s">
        <v>181</v>
      </c>
      <c r="E8" s="350">
        <f>+DOMICILIAR!D77</f>
        <v>189.62</v>
      </c>
      <c r="F8" s="116">
        <f>ROUND(C8*E8,2)</f>
        <v>976543</v>
      </c>
      <c r="G8" s="118">
        <f>F8*12</f>
        <v>11718516</v>
      </c>
      <c r="H8" s="40" t="s">
        <v>470</v>
      </c>
      <c r="I8" s="40">
        <f>G16</f>
        <v>22594040.004000001</v>
      </c>
      <c r="J8" s="40">
        <f>C8*0.5</f>
        <v>2575</v>
      </c>
    </row>
    <row r="9" spans="1:11" s="40" customFormat="1" ht="53.25" customHeight="1" x14ac:dyDescent="0.2">
      <c r="A9" s="83" t="s">
        <v>260</v>
      </c>
      <c r="B9" s="38" t="s">
        <v>482</v>
      </c>
      <c r="C9" s="121">
        <v>200</v>
      </c>
      <c r="D9" s="39" t="str">
        <f>+D11</f>
        <v>UND</v>
      </c>
      <c r="E9" s="351">
        <v>5395</v>
      </c>
      <c r="F9" s="73">
        <f t="shared" ref="F9:F14" si="0">ROUND(C9*E9,2)</f>
        <v>1079000</v>
      </c>
      <c r="G9" s="119">
        <f>F9</f>
        <v>1079000</v>
      </c>
      <c r="H9" s="40" t="s">
        <v>470</v>
      </c>
      <c r="I9" s="40">
        <f>I8*0.04</f>
        <v>903761.60016000003</v>
      </c>
      <c r="J9" s="40">
        <f>C9*0.5</f>
        <v>100</v>
      </c>
    </row>
    <row r="10" spans="1:11" s="40" customFormat="1" ht="53.25" customHeight="1" x14ac:dyDescent="0.2">
      <c r="A10" s="83" t="s">
        <v>260</v>
      </c>
      <c r="B10" s="38" t="s">
        <v>483</v>
      </c>
      <c r="C10" s="121">
        <v>170</v>
      </c>
      <c r="D10" s="39" t="s">
        <v>280</v>
      </c>
      <c r="E10" s="351">
        <v>6095</v>
      </c>
      <c r="F10" s="73">
        <f t="shared" ref="F10" si="1">ROUND(C10*E10,2)</f>
        <v>1036150</v>
      </c>
      <c r="G10" s="119">
        <f>F10</f>
        <v>1036150</v>
      </c>
      <c r="H10" s="40" t="s">
        <v>470</v>
      </c>
      <c r="J10" s="40">
        <f>C10*0.5</f>
        <v>85</v>
      </c>
    </row>
    <row r="11" spans="1:11" s="40" customFormat="1" ht="36" x14ac:dyDescent="0.2">
      <c r="A11" s="83" t="s">
        <v>260</v>
      </c>
      <c r="B11" s="290" t="s">
        <v>279</v>
      </c>
      <c r="C11" s="73">
        <v>300</v>
      </c>
      <c r="D11" s="291" t="s">
        <v>280</v>
      </c>
      <c r="E11" s="351">
        <v>235</v>
      </c>
      <c r="F11" s="73">
        <f t="shared" si="0"/>
        <v>70500</v>
      </c>
      <c r="G11" s="119">
        <f>F11*12</f>
        <v>846000</v>
      </c>
      <c r="H11" s="40" t="s">
        <v>469</v>
      </c>
      <c r="I11" s="346">
        <v>64.340599999999995</v>
      </c>
      <c r="J11" s="40">
        <f t="shared" ref="J11" si="2">C11*0.5</f>
        <v>150</v>
      </c>
    </row>
    <row r="12" spans="1:11" s="40" customFormat="1" ht="24" x14ac:dyDescent="0.2">
      <c r="A12" s="332" t="str">
        <f>+A11</f>
        <v>COMP.</v>
      </c>
      <c r="B12" s="293" t="s">
        <v>442</v>
      </c>
      <c r="C12" s="73">
        <f>+'PLANILHA_NAO IMPRIMIR'!E7</f>
        <v>5150</v>
      </c>
      <c r="D12" s="291" t="str">
        <f>+D8</f>
        <v>ton</v>
      </c>
      <c r="E12" s="351">
        <f>OPERAÇÃO!G25</f>
        <v>64.340599999999995</v>
      </c>
      <c r="F12" s="73">
        <f t="shared" si="0"/>
        <v>331354.09000000003</v>
      </c>
      <c r="G12" s="119">
        <f>F12*12</f>
        <v>3976249.08</v>
      </c>
      <c r="H12" s="40" t="s">
        <v>470</v>
      </c>
      <c r="I12" s="347">
        <f>C12*12</f>
        <v>61800</v>
      </c>
      <c r="J12" s="346">
        <f>E12</f>
        <v>64.340599999999995</v>
      </c>
      <c r="K12" s="40">
        <f>I12*J12</f>
        <v>3976249.0799999996</v>
      </c>
    </row>
    <row r="13" spans="1:11" s="40" customFormat="1" ht="37.5" customHeight="1" x14ac:dyDescent="0.2">
      <c r="A13" s="311" t="s">
        <v>443</v>
      </c>
      <c r="B13" s="293" t="s">
        <v>448</v>
      </c>
      <c r="C13" s="73">
        <v>1000</v>
      </c>
      <c r="D13" s="291" t="s">
        <v>405</v>
      </c>
      <c r="E13" s="351">
        <v>75</v>
      </c>
      <c r="F13" s="73">
        <f t="shared" si="0"/>
        <v>75000</v>
      </c>
      <c r="G13" s="119">
        <f>F13*12</f>
        <v>900000</v>
      </c>
      <c r="H13" s="40" t="s">
        <v>470</v>
      </c>
      <c r="J13" s="349">
        <f>G12/I12</f>
        <v>64.340599999999995</v>
      </c>
    </row>
    <row r="14" spans="1:11" s="40" customFormat="1" ht="48.75" thickBot="1" x14ac:dyDescent="0.25">
      <c r="A14" s="333" t="s">
        <v>260</v>
      </c>
      <c r="B14" s="325" t="s">
        <v>471</v>
      </c>
      <c r="C14" s="334">
        <v>1</v>
      </c>
      <c r="D14" s="291" t="s">
        <v>280</v>
      </c>
      <c r="E14" s="352">
        <f>F41</f>
        <v>1912325.37</v>
      </c>
      <c r="F14" s="334">
        <f t="shared" si="0"/>
        <v>1912325.37</v>
      </c>
      <c r="G14" s="152">
        <f>F14</f>
        <v>1912325.37</v>
      </c>
      <c r="H14" s="40" t="s">
        <v>470</v>
      </c>
      <c r="J14" s="348">
        <f>I12*J13</f>
        <v>3976249.0799999996</v>
      </c>
    </row>
    <row r="15" spans="1:11" s="40" customFormat="1" ht="17.25" customHeight="1" thickBot="1" x14ac:dyDescent="0.25">
      <c r="A15" s="333" t="s">
        <v>260</v>
      </c>
      <c r="B15" s="325" t="s">
        <v>452</v>
      </c>
      <c r="C15" s="334">
        <v>1</v>
      </c>
      <c r="D15" s="335" t="s">
        <v>454</v>
      </c>
      <c r="E15" s="352">
        <f>ADM!B39</f>
        <v>93816.629499999995</v>
      </c>
      <c r="F15" s="483">
        <f>TRUNC(ADM!B39,4)</f>
        <v>93816.629499999995</v>
      </c>
      <c r="G15" s="152">
        <f>F15*12</f>
        <v>1125799.554</v>
      </c>
    </row>
    <row r="16" spans="1:11" s="40" customFormat="1" thickBot="1" x14ac:dyDescent="0.25">
      <c r="A16" s="109" t="s">
        <v>261</v>
      </c>
      <c r="B16" s="175"/>
      <c r="C16" s="176"/>
      <c r="D16" s="177"/>
      <c r="E16" s="354"/>
      <c r="F16" s="178"/>
      <c r="G16" s="482">
        <f>SUM(G8:G15)</f>
        <v>22594040.004000001</v>
      </c>
      <c r="H16" s="40">
        <v>22147328.350000001</v>
      </c>
      <c r="I16" s="40">
        <f>G16/H16</f>
        <v>1.0201700018593891</v>
      </c>
    </row>
    <row r="17" spans="1:7" s="5" customFormat="1" ht="21.75" customHeight="1" thickBot="1" x14ac:dyDescent="0.25">
      <c r="A17" s="109"/>
      <c r="B17" s="110"/>
      <c r="C17" s="111"/>
      <c r="D17" s="112"/>
      <c r="E17" s="355"/>
      <c r="F17" s="113"/>
      <c r="G17" s="113"/>
    </row>
    <row r="20" spans="1:7" ht="13.5" thickBot="1" x14ac:dyDescent="0.25">
      <c r="A20" s="51"/>
      <c r="B20" s="52"/>
      <c r="C20" s="52"/>
      <c r="D20" s="53"/>
      <c r="E20" s="356"/>
      <c r="F20" s="7"/>
      <c r="G20" s="7"/>
    </row>
    <row r="21" spans="1:7" ht="13.5" thickBot="1" x14ac:dyDescent="0.25">
      <c r="A21" s="464" t="s">
        <v>399</v>
      </c>
      <c r="B21" s="465"/>
      <c r="C21" s="465"/>
      <c r="D21" s="465"/>
      <c r="E21" s="465"/>
      <c r="F21" s="466"/>
      <c r="G21" s="300"/>
    </row>
    <row r="22" spans="1:7" ht="27" customHeight="1" x14ac:dyDescent="0.2">
      <c r="A22" s="287">
        <v>2</v>
      </c>
      <c r="B22" s="467" t="s">
        <v>471</v>
      </c>
      <c r="C22" s="467"/>
      <c r="D22" s="467"/>
      <c r="E22" s="467"/>
      <c r="F22" s="468"/>
      <c r="G22" s="301"/>
    </row>
    <row r="23" spans="1:7" x14ac:dyDescent="0.2">
      <c r="A23" s="261" t="s">
        <v>332</v>
      </c>
      <c r="B23" s="419" t="s">
        <v>401</v>
      </c>
      <c r="C23" s="420"/>
      <c r="D23" s="420"/>
      <c r="E23" s="420"/>
      <c r="F23" s="421"/>
      <c r="G23" s="301"/>
    </row>
    <row r="24" spans="1:7" ht="38.25" x14ac:dyDescent="0.2">
      <c r="A24" s="261" t="s">
        <v>402</v>
      </c>
      <c r="B24" s="268" t="s">
        <v>404</v>
      </c>
      <c r="C24" s="264" t="s">
        <v>405</v>
      </c>
      <c r="D24" s="273">
        <f>(((8.5+4)*1.5)/2)*(100+100+200+200)</f>
        <v>5625</v>
      </c>
      <c r="E24" s="357">
        <f>+'PLANILHA_NAO IMPRIMIR'!F15</f>
        <v>5.3638750000000002</v>
      </c>
      <c r="F24" s="336">
        <f t="shared" ref="F24:F30" si="3">ROUND(D24*E24,2)</f>
        <v>30171.8</v>
      </c>
      <c r="G24" s="340"/>
    </row>
    <row r="25" spans="1:7" ht="39" customHeight="1" x14ac:dyDescent="0.2">
      <c r="A25" s="261" t="s">
        <v>406</v>
      </c>
      <c r="B25" s="268" t="s">
        <v>408</v>
      </c>
      <c r="C25" s="264" t="s">
        <v>405</v>
      </c>
      <c r="D25" s="273">
        <f>(((8.5+4)*1.5)/2)*(100+100+200+200)</f>
        <v>5625</v>
      </c>
      <c r="E25" s="357">
        <f>+'PLANILHA_NAO IMPRIMIR'!F16</f>
        <v>3.9421249999999999</v>
      </c>
      <c r="F25" s="336">
        <f t="shared" si="3"/>
        <v>22174.45</v>
      </c>
      <c r="G25" s="340"/>
    </row>
    <row r="26" spans="1:7" x14ac:dyDescent="0.2">
      <c r="A26" s="261" t="s">
        <v>332</v>
      </c>
      <c r="B26" s="419" t="s">
        <v>409</v>
      </c>
      <c r="C26" s="420"/>
      <c r="D26" s="420"/>
      <c r="E26" s="420"/>
      <c r="F26" s="420"/>
      <c r="G26" s="341"/>
    </row>
    <row r="27" spans="1:7" ht="76.5" x14ac:dyDescent="0.2">
      <c r="A27" s="261" t="s">
        <v>410</v>
      </c>
      <c r="B27" s="268" t="s">
        <v>412</v>
      </c>
      <c r="C27" s="264" t="s">
        <v>413</v>
      </c>
      <c r="D27" s="273">
        <v>20000</v>
      </c>
      <c r="E27" s="357">
        <f>+'PLANILHA_NAO IMPRIMIR'!F18</f>
        <v>56.029875000000004</v>
      </c>
      <c r="F27" s="336">
        <f t="shared" si="3"/>
        <v>1120597.5</v>
      </c>
      <c r="G27" s="340"/>
    </row>
    <row r="28" spans="1:7" ht="38.25" x14ac:dyDescent="0.2">
      <c r="A28" s="261" t="s">
        <v>414</v>
      </c>
      <c r="B28" s="268" t="s">
        <v>416</v>
      </c>
      <c r="C28" s="264" t="s">
        <v>413</v>
      </c>
      <c r="D28" s="273">
        <v>20000</v>
      </c>
      <c r="E28" s="357">
        <f>+'PLANILHA_NAO IMPRIMIR'!F19</f>
        <v>14.385525000000001</v>
      </c>
      <c r="F28" s="336">
        <f t="shared" si="3"/>
        <v>287710.5</v>
      </c>
      <c r="G28" s="340"/>
    </row>
    <row r="29" spans="1:7" ht="51" x14ac:dyDescent="0.2">
      <c r="A29" s="261" t="s">
        <v>406</v>
      </c>
      <c r="B29" s="268" t="s">
        <v>417</v>
      </c>
      <c r="C29" s="264" t="s">
        <v>405</v>
      </c>
      <c r="D29" s="273">
        <f>20000*0.5</f>
        <v>10000</v>
      </c>
      <c r="E29" s="357">
        <f>+'PLANILHA_NAO IMPRIMIR'!F20</f>
        <v>5.3638750000000002</v>
      </c>
      <c r="F29" s="336">
        <f t="shared" si="3"/>
        <v>53638.75</v>
      </c>
      <c r="G29" s="340"/>
    </row>
    <row r="30" spans="1:7" ht="51" x14ac:dyDescent="0.2">
      <c r="A30" s="261" t="s">
        <v>418</v>
      </c>
      <c r="B30" s="268" t="s">
        <v>419</v>
      </c>
      <c r="C30" s="264" t="s">
        <v>405</v>
      </c>
      <c r="D30" s="273">
        <f>20000*0.5</f>
        <v>10000</v>
      </c>
      <c r="E30" s="357">
        <f>+'PLANILHA_NAO IMPRIMIR'!F21</f>
        <v>3.9421249999999999</v>
      </c>
      <c r="F30" s="336">
        <f t="shared" si="3"/>
        <v>39421.25</v>
      </c>
      <c r="G30" s="340"/>
    </row>
    <row r="31" spans="1:7" x14ac:dyDescent="0.2">
      <c r="A31" s="416" t="s">
        <v>330</v>
      </c>
      <c r="B31" s="417"/>
      <c r="C31" s="417"/>
      <c r="D31" s="417"/>
      <c r="E31" s="417"/>
      <c r="F31" s="337">
        <f>SUM(F24:F30)</f>
        <v>1553714.25</v>
      </c>
      <c r="G31" s="342"/>
    </row>
    <row r="32" spans="1:7" x14ac:dyDescent="0.2">
      <c r="A32" s="288" t="s">
        <v>472</v>
      </c>
      <c r="B32" s="425" t="s">
        <v>420</v>
      </c>
      <c r="C32" s="425"/>
      <c r="D32" s="425"/>
      <c r="E32" s="425"/>
      <c r="F32" s="460"/>
      <c r="G32" s="343"/>
    </row>
    <row r="33" spans="1:8" ht="102" x14ac:dyDescent="0.2">
      <c r="A33" s="237" t="s">
        <v>473</v>
      </c>
      <c r="B33" s="277" t="s">
        <v>422</v>
      </c>
      <c r="C33" s="345" t="s">
        <v>480</v>
      </c>
      <c r="D33" s="279">
        <v>100</v>
      </c>
      <c r="E33" s="358">
        <f>+'PLANILHA_NAO IMPRIMIR'!F25</f>
        <v>953.6065000000001</v>
      </c>
      <c r="F33" s="336">
        <f t="shared" ref="F33:F39" si="4">ROUND(D33*E33,2)</f>
        <v>95360.65</v>
      </c>
      <c r="G33" s="340"/>
    </row>
    <row r="34" spans="1:8" ht="76.5" x14ac:dyDescent="0.2">
      <c r="A34" s="237" t="s">
        <v>474</v>
      </c>
      <c r="B34" s="277" t="s">
        <v>425</v>
      </c>
      <c r="C34" s="278" t="s">
        <v>426</v>
      </c>
      <c r="D34" s="279">
        <v>1</v>
      </c>
      <c r="E34" s="358">
        <f>+'PLANILHA_NAO IMPRIMIR'!F26</f>
        <v>20434.424999999999</v>
      </c>
      <c r="F34" s="336">
        <f t="shared" si="4"/>
        <v>20434.43</v>
      </c>
      <c r="G34" s="340"/>
    </row>
    <row r="35" spans="1:8" ht="191.25" x14ac:dyDescent="0.2">
      <c r="A35" s="237" t="s">
        <v>475</v>
      </c>
      <c r="B35" s="277" t="s">
        <v>430</v>
      </c>
      <c r="C35" s="278" t="s">
        <v>44</v>
      </c>
      <c r="D35" s="279">
        <v>1200</v>
      </c>
      <c r="E35" s="358">
        <f>+'PLANILHA_NAO IMPRIMIR'!F27</f>
        <v>61.794425000000004</v>
      </c>
      <c r="F35" s="336">
        <f t="shared" si="4"/>
        <v>74153.31</v>
      </c>
      <c r="G35" s="340"/>
    </row>
    <row r="36" spans="1:8" ht="89.25" x14ac:dyDescent="0.2">
      <c r="A36" s="237" t="s">
        <v>476</v>
      </c>
      <c r="B36" s="277" t="s">
        <v>432</v>
      </c>
      <c r="C36" s="278" t="s">
        <v>44</v>
      </c>
      <c r="D36" s="279">
        <f>(3.1416/4)*6*7</f>
        <v>32.986799999999995</v>
      </c>
      <c r="E36" s="358">
        <f>+'PLANILHA_NAO IMPRIMIR'!F28</f>
        <v>92.956599999999995</v>
      </c>
      <c r="F36" s="336">
        <f t="shared" si="4"/>
        <v>3066.34</v>
      </c>
      <c r="G36" s="340"/>
    </row>
    <row r="37" spans="1:8" ht="76.5" x14ac:dyDescent="0.2">
      <c r="A37" s="237" t="s">
        <v>477</v>
      </c>
      <c r="B37" s="277" t="s">
        <v>434</v>
      </c>
      <c r="C37" s="278" t="s">
        <v>44</v>
      </c>
      <c r="D37" s="279">
        <v>7</v>
      </c>
      <c r="E37" s="358">
        <f>+'PLANILHA_NAO IMPRIMIR'!F29</f>
        <v>246.86750000000001</v>
      </c>
      <c r="F37" s="336">
        <f t="shared" si="4"/>
        <v>1728.07</v>
      </c>
      <c r="G37" s="340"/>
    </row>
    <row r="38" spans="1:8" ht="114.75" x14ac:dyDescent="0.2">
      <c r="A38" s="237" t="s">
        <v>478</v>
      </c>
      <c r="B38" s="277" t="s">
        <v>437</v>
      </c>
      <c r="C38" s="278" t="s">
        <v>44</v>
      </c>
      <c r="D38" s="279">
        <v>800</v>
      </c>
      <c r="E38" s="358">
        <f>+'PLANILHA_NAO IMPRIMIR'!F30</f>
        <v>101.4354</v>
      </c>
      <c r="F38" s="336">
        <f t="shared" si="4"/>
        <v>81148.320000000007</v>
      </c>
      <c r="G38" s="340"/>
    </row>
    <row r="39" spans="1:8" ht="20.25" customHeight="1" x14ac:dyDescent="0.2">
      <c r="A39" s="237" t="s">
        <v>479</v>
      </c>
      <c r="B39" s="282" t="s">
        <v>439</v>
      </c>
      <c r="C39" s="278" t="s">
        <v>413</v>
      </c>
      <c r="D39" s="279">
        <v>8000</v>
      </c>
      <c r="E39" s="358">
        <f>+'PLANILHA_NAO IMPRIMIR'!F31</f>
        <v>10.34</v>
      </c>
      <c r="F39" s="336">
        <f t="shared" si="4"/>
        <v>82720</v>
      </c>
      <c r="G39" s="340"/>
    </row>
    <row r="40" spans="1:8" x14ac:dyDescent="0.2">
      <c r="A40" s="416" t="s">
        <v>336</v>
      </c>
      <c r="B40" s="417"/>
      <c r="C40" s="417"/>
      <c r="D40" s="417"/>
      <c r="E40" s="417"/>
      <c r="F40" s="338">
        <f>SUM(F33:F39)</f>
        <v>358611.12</v>
      </c>
      <c r="G40" s="342"/>
      <c r="H40" s="3" t="s">
        <v>469</v>
      </c>
    </row>
    <row r="41" spans="1:8" x14ac:dyDescent="0.2">
      <c r="A41" s="416" t="s">
        <v>451</v>
      </c>
      <c r="B41" s="417"/>
      <c r="C41" s="417"/>
      <c r="D41" s="417"/>
      <c r="E41" s="418"/>
      <c r="F41" s="339">
        <f>F31+F40</f>
        <v>1912325.37</v>
      </c>
      <c r="G41" s="344"/>
    </row>
    <row r="42" spans="1:8" ht="13.5" thickBot="1" x14ac:dyDescent="0.25">
      <c r="A42" s="383" t="s">
        <v>390</v>
      </c>
      <c r="B42" s="384"/>
      <c r="C42" s="384"/>
      <c r="D42" s="384"/>
      <c r="E42" s="384"/>
      <c r="F42" s="385"/>
      <c r="G42" s="301"/>
    </row>
    <row r="43" spans="1:8" x14ac:dyDescent="0.2">
      <c r="A43" s="305"/>
      <c r="B43" s="305"/>
      <c r="C43" s="305"/>
      <c r="D43" s="305"/>
      <c r="E43" s="485"/>
      <c r="F43" s="305"/>
      <c r="G43" s="305"/>
    </row>
    <row r="44" spans="1:8" x14ac:dyDescent="0.2">
      <c r="A44" s="305"/>
      <c r="B44" s="305"/>
      <c r="C44" s="305"/>
      <c r="D44" s="305"/>
      <c r="E44" s="485"/>
      <c r="F44" s="305"/>
      <c r="G44" s="305"/>
    </row>
    <row r="46" spans="1:8" x14ac:dyDescent="0.2">
      <c r="A46" s="461"/>
      <c r="B46" s="461"/>
      <c r="C46" s="461"/>
      <c r="D46" s="461"/>
      <c r="E46" s="461"/>
      <c r="F46" s="3">
        <v>1912325.37</v>
      </c>
    </row>
    <row r="47" spans="1:8" x14ac:dyDescent="0.2">
      <c r="A47" s="459"/>
      <c r="B47" s="459"/>
      <c r="C47" s="459"/>
      <c r="D47" s="459"/>
      <c r="E47" s="459"/>
      <c r="F47" s="44"/>
      <c r="G47" s="44"/>
    </row>
    <row r="48" spans="1:8" x14ac:dyDescent="0.2">
      <c r="A48" s="459"/>
      <c r="B48" s="459"/>
      <c r="C48" s="459"/>
      <c r="D48" s="459"/>
      <c r="E48" s="459"/>
      <c r="F48" s="306"/>
      <c r="G48" s="306"/>
    </row>
    <row r="49" spans="1:7" x14ac:dyDescent="0.2">
      <c r="A49" s="459"/>
      <c r="B49" s="459"/>
      <c r="C49" s="459"/>
      <c r="D49" s="459"/>
      <c r="E49" s="459"/>
      <c r="F49" s="306"/>
      <c r="G49" s="306"/>
    </row>
    <row r="50" spans="1:7" x14ac:dyDescent="0.2">
      <c r="A50" s="4"/>
    </row>
  </sheetData>
  <mergeCells count="24">
    <mergeCell ref="A49:E49"/>
    <mergeCell ref="B32:F32"/>
    <mergeCell ref="A40:E40"/>
    <mergeCell ref="A41:E41"/>
    <mergeCell ref="G6:G7"/>
    <mergeCell ref="A42:F42"/>
    <mergeCell ref="A46:E46"/>
    <mergeCell ref="A47:E47"/>
    <mergeCell ref="A48:E48"/>
    <mergeCell ref="A6:A7"/>
    <mergeCell ref="A21:F21"/>
    <mergeCell ref="B22:F22"/>
    <mergeCell ref="B23:F23"/>
    <mergeCell ref="B26:F26"/>
    <mergeCell ref="A31:E31"/>
    <mergeCell ref="A1:F1"/>
    <mergeCell ref="A4:F4"/>
    <mergeCell ref="B6:B7"/>
    <mergeCell ref="C6:C7"/>
    <mergeCell ref="D6:D7"/>
    <mergeCell ref="E6:E7"/>
    <mergeCell ref="F6:F7"/>
    <mergeCell ref="A3:F3"/>
    <mergeCell ref="A5:F5"/>
  </mergeCells>
  <phoneticPr fontId="18" type="noConversion"/>
  <pageMargins left="0.59055118110236227" right="0.19685039370078741" top="0.51181102362204722" bottom="0.39370078740157483" header="0.51181102362204722" footer="0.51181102362204722"/>
  <pageSetup paperSize="9" scale="94" orientation="portrait" r:id="rId1"/>
  <headerFooter alignWithMargins="0"/>
  <rowBreaks count="1" manualBreakCount="1">
    <brk id="18" max="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G49"/>
  <sheetViews>
    <sheetView view="pageBreakPreview" topLeftCell="A10" zoomScaleNormal="115" zoomScaleSheetLayoutView="100" workbookViewId="0">
      <selection activeCell="C9" sqref="C9"/>
    </sheetView>
  </sheetViews>
  <sheetFormatPr defaultColWidth="10.6640625" defaultRowHeight="12.75" x14ac:dyDescent="0.2"/>
  <cols>
    <col min="1" max="1" width="9.83203125" style="50" customWidth="1"/>
    <col min="2" max="2" width="25.5" style="3" customWidth="1"/>
    <col min="3" max="3" width="10" style="3" customWidth="1"/>
    <col min="4" max="4" width="12.1640625" style="50" customWidth="1"/>
    <col min="5" max="5" width="13.83203125" style="3" customWidth="1"/>
    <col min="6" max="6" width="20.83203125" style="3" customWidth="1"/>
    <col min="7" max="7" width="15.33203125" style="295" bestFit="1" customWidth="1"/>
    <col min="8" max="9" width="10.6640625" style="3"/>
    <col min="10" max="10" width="15.1640625" style="3" bestFit="1" customWidth="1"/>
    <col min="11" max="16384" width="10.6640625" style="3"/>
  </cols>
  <sheetData>
    <row r="1" spans="1:7" ht="23.25" x14ac:dyDescent="0.35">
      <c r="A1" s="450" t="str">
        <f>+PREÇOS!A1</f>
        <v>PREFEITURA MUNICIPAL DE VARZEA GRANDE</v>
      </c>
      <c r="B1" s="450"/>
      <c r="C1" s="450"/>
      <c r="D1" s="450"/>
      <c r="E1" s="450"/>
      <c r="F1" s="450"/>
    </row>
    <row r="2" spans="1:7" ht="25.7" customHeight="1" x14ac:dyDescent="0.2"/>
    <row r="3" spans="1:7" ht="28.5" customHeight="1" x14ac:dyDescent="0.3">
      <c r="A3" s="451" t="s">
        <v>174</v>
      </c>
      <c r="B3" s="451"/>
      <c r="C3" s="451"/>
      <c r="D3" s="451"/>
      <c r="E3" s="451"/>
      <c r="F3" s="451"/>
    </row>
    <row r="4" spans="1:7" ht="19.5" x14ac:dyDescent="0.3">
      <c r="A4" s="451"/>
      <c r="B4" s="451"/>
      <c r="C4" s="451"/>
      <c r="D4" s="451"/>
      <c r="E4" s="451"/>
      <c r="F4" s="451"/>
    </row>
    <row r="5" spans="1:7" ht="16.5" thickBot="1" x14ac:dyDescent="0.3">
      <c r="A5" s="458" t="s">
        <v>455</v>
      </c>
      <c r="B5" s="458"/>
      <c r="C5" s="458"/>
      <c r="D5" s="458"/>
      <c r="E5" s="458"/>
      <c r="F5" s="458"/>
    </row>
    <row r="6" spans="1:7" s="309" customFormat="1" x14ac:dyDescent="0.2">
      <c r="A6" s="462" t="s">
        <v>175</v>
      </c>
      <c r="B6" s="452" t="s">
        <v>176</v>
      </c>
      <c r="C6" s="452" t="s">
        <v>177</v>
      </c>
      <c r="D6" s="452" t="s">
        <v>178</v>
      </c>
      <c r="E6" s="452" t="s">
        <v>179</v>
      </c>
      <c r="F6" s="456" t="s">
        <v>180</v>
      </c>
      <c r="G6" s="296"/>
    </row>
    <row r="7" spans="1:7" s="309" customFormat="1" ht="13.5" thickBot="1" x14ac:dyDescent="0.25">
      <c r="A7" s="463"/>
      <c r="B7" s="453"/>
      <c r="C7" s="453"/>
      <c r="D7" s="453"/>
      <c r="E7" s="453"/>
      <c r="F7" s="457"/>
      <c r="G7" s="296"/>
    </row>
    <row r="8" spans="1:7" s="40" customFormat="1" ht="84" x14ac:dyDescent="0.2">
      <c r="A8" s="114" t="s">
        <v>260</v>
      </c>
      <c r="B8" s="115" t="s">
        <v>444</v>
      </c>
      <c r="C8" s="120">
        <f>+DOMICILIAR!D76</f>
        <v>5150</v>
      </c>
      <c r="D8" s="117" t="s">
        <v>181</v>
      </c>
      <c r="E8" s="116"/>
      <c r="F8" s="118"/>
      <c r="G8" s="297"/>
    </row>
    <row r="9" spans="1:7" s="40" customFormat="1" ht="48" x14ac:dyDescent="0.2">
      <c r="A9" s="83" t="s">
        <v>260</v>
      </c>
      <c r="B9" s="38" t="s">
        <v>304</v>
      </c>
      <c r="C9" s="121">
        <v>50</v>
      </c>
      <c r="D9" s="39" t="str">
        <f>+D10</f>
        <v>UND</v>
      </c>
      <c r="E9" s="73"/>
      <c r="F9" s="119"/>
      <c r="G9" s="297"/>
    </row>
    <row r="10" spans="1:7" s="40" customFormat="1" ht="36" x14ac:dyDescent="0.2">
      <c r="A10" s="289" t="s">
        <v>260</v>
      </c>
      <c r="B10" s="290" t="s">
        <v>279</v>
      </c>
      <c r="C10" s="73">
        <v>300</v>
      </c>
      <c r="D10" s="291" t="s">
        <v>280</v>
      </c>
      <c r="E10" s="73"/>
      <c r="F10" s="73"/>
      <c r="G10" s="297"/>
    </row>
    <row r="11" spans="1:7" s="40" customFormat="1" ht="24" x14ac:dyDescent="0.2">
      <c r="A11" s="292" t="str">
        <f>+A10</f>
        <v>COMP.</v>
      </c>
      <c r="B11" s="293" t="s">
        <v>442</v>
      </c>
      <c r="C11" s="73">
        <f>+'PLANILHA_NAO IMPRIMIR'!E7</f>
        <v>5150</v>
      </c>
      <c r="D11" s="291" t="str">
        <f>+D8</f>
        <v>ton</v>
      </c>
      <c r="E11" s="73"/>
      <c r="F11" s="73"/>
      <c r="G11" s="297"/>
    </row>
    <row r="12" spans="1:7" s="40" customFormat="1" ht="36" x14ac:dyDescent="0.2">
      <c r="A12" s="294" t="s">
        <v>443</v>
      </c>
      <c r="B12" s="293" t="s">
        <v>448</v>
      </c>
      <c r="C12" s="73">
        <f>+'PLANILHA_NAO IMPRIMIR'!E8</f>
        <v>1000</v>
      </c>
      <c r="D12" s="291" t="s">
        <v>405</v>
      </c>
      <c r="E12" s="73"/>
      <c r="F12" s="73"/>
      <c r="G12" s="297"/>
    </row>
    <row r="13" spans="1:7" s="40" customFormat="1" thickBot="1" x14ac:dyDescent="0.25">
      <c r="A13" s="312" t="s">
        <v>260</v>
      </c>
      <c r="B13" s="313" t="s">
        <v>452</v>
      </c>
      <c r="C13" s="176">
        <v>1</v>
      </c>
      <c r="D13" s="177" t="s">
        <v>454</v>
      </c>
      <c r="E13" s="176"/>
      <c r="F13" s="152"/>
      <c r="G13" s="297"/>
    </row>
    <row r="14" spans="1:7" s="40" customFormat="1" thickBot="1" x14ac:dyDescent="0.25">
      <c r="A14" s="109" t="s">
        <v>306</v>
      </c>
      <c r="B14" s="175"/>
      <c r="C14" s="176"/>
      <c r="D14" s="177"/>
      <c r="E14" s="176"/>
      <c r="F14" s="178"/>
      <c r="G14" s="298"/>
    </row>
    <row r="15" spans="1:7" s="5" customFormat="1" ht="21.75" customHeight="1" thickBot="1" x14ac:dyDescent="0.25">
      <c r="A15" s="109" t="s">
        <v>261</v>
      </c>
      <c r="B15" s="110"/>
      <c r="C15" s="111"/>
      <c r="D15" s="112"/>
      <c r="E15" s="112"/>
      <c r="F15" s="113"/>
      <c r="G15" s="299"/>
    </row>
    <row r="18" spans="1:7" ht="13.5" thickBot="1" x14ac:dyDescent="0.25">
      <c r="A18" s="51"/>
      <c r="B18" s="52"/>
      <c r="C18" s="52"/>
      <c r="D18" s="53"/>
      <c r="E18" s="52"/>
      <c r="F18" s="7"/>
    </row>
    <row r="19" spans="1:7" ht="13.5" thickBot="1" x14ac:dyDescent="0.25">
      <c r="A19" s="464" t="s">
        <v>399</v>
      </c>
      <c r="B19" s="465"/>
      <c r="C19" s="465"/>
      <c r="D19" s="465"/>
      <c r="E19" s="465"/>
      <c r="F19" s="466"/>
      <c r="G19" s="300"/>
    </row>
    <row r="20" spans="1:7" ht="12.75" customHeight="1" x14ac:dyDescent="0.2">
      <c r="A20" s="307">
        <v>2</v>
      </c>
      <c r="B20" s="469" t="s">
        <v>400</v>
      </c>
      <c r="C20" s="469"/>
      <c r="D20" s="469"/>
      <c r="E20" s="469"/>
      <c r="F20" s="470"/>
      <c r="G20" s="301"/>
    </row>
    <row r="21" spans="1:7" x14ac:dyDescent="0.2">
      <c r="A21" s="261" t="s">
        <v>332</v>
      </c>
      <c r="B21" s="419" t="s">
        <v>401</v>
      </c>
      <c r="C21" s="420"/>
      <c r="D21" s="420"/>
      <c r="E21" s="420"/>
      <c r="F21" s="421"/>
      <c r="G21" s="301"/>
    </row>
    <row r="22" spans="1:7" ht="38.25" x14ac:dyDescent="0.2">
      <c r="A22" s="261" t="s">
        <v>402</v>
      </c>
      <c r="B22" s="268" t="s">
        <v>404</v>
      </c>
      <c r="C22" s="264" t="s">
        <v>405</v>
      </c>
      <c r="D22" s="273">
        <f>(((8.5+4)*1.5)/2)*(100+100+200+200)</f>
        <v>5625</v>
      </c>
      <c r="E22" s="265"/>
      <c r="F22" s="274"/>
      <c r="G22" s="302"/>
    </row>
    <row r="23" spans="1:7" ht="12.75" customHeight="1" x14ac:dyDescent="0.2">
      <c r="A23" s="261" t="s">
        <v>406</v>
      </c>
      <c r="B23" s="268" t="s">
        <v>408</v>
      </c>
      <c r="C23" s="264" t="s">
        <v>405</v>
      </c>
      <c r="D23" s="273">
        <f>(((8.5+4)*1.5)/2)*(100+100+200+200)</f>
        <v>5625</v>
      </c>
      <c r="E23" s="265"/>
      <c r="F23" s="274"/>
      <c r="G23" s="302"/>
    </row>
    <row r="24" spans="1:7" x14ac:dyDescent="0.2">
      <c r="A24" s="261" t="s">
        <v>332</v>
      </c>
      <c r="B24" s="419" t="s">
        <v>409</v>
      </c>
      <c r="C24" s="420"/>
      <c r="D24" s="420"/>
      <c r="E24" s="420"/>
      <c r="F24" s="421"/>
      <c r="G24" s="301"/>
    </row>
    <row r="25" spans="1:7" ht="76.5" x14ac:dyDescent="0.2">
      <c r="A25" s="261" t="s">
        <v>410</v>
      </c>
      <c r="B25" s="268" t="s">
        <v>412</v>
      </c>
      <c r="C25" s="264" t="s">
        <v>413</v>
      </c>
      <c r="D25" s="273">
        <v>20000</v>
      </c>
      <c r="E25" s="265"/>
      <c r="F25" s="274"/>
      <c r="G25" s="303"/>
    </row>
    <row r="26" spans="1:7" ht="38.25" x14ac:dyDescent="0.2">
      <c r="A26" s="261" t="s">
        <v>414</v>
      </c>
      <c r="B26" s="268" t="s">
        <v>416</v>
      </c>
      <c r="C26" s="264" t="s">
        <v>413</v>
      </c>
      <c r="D26" s="273">
        <v>20000</v>
      </c>
      <c r="E26" s="265"/>
      <c r="F26" s="274"/>
      <c r="G26" s="303"/>
    </row>
    <row r="27" spans="1:7" ht="51" x14ac:dyDescent="0.2">
      <c r="A27" s="261" t="s">
        <v>406</v>
      </c>
      <c r="B27" s="268" t="s">
        <v>417</v>
      </c>
      <c r="C27" s="264" t="s">
        <v>405</v>
      </c>
      <c r="D27" s="273">
        <f>20000*0.5</f>
        <v>10000</v>
      </c>
      <c r="E27" s="265"/>
      <c r="F27" s="274"/>
      <c r="G27" s="302"/>
    </row>
    <row r="28" spans="1:7" ht="51" x14ac:dyDescent="0.2">
      <c r="A28" s="261" t="s">
        <v>418</v>
      </c>
      <c r="B28" s="268" t="s">
        <v>419</v>
      </c>
      <c r="C28" s="264" t="s">
        <v>405</v>
      </c>
      <c r="D28" s="273">
        <f>20000*0.5</f>
        <v>10000</v>
      </c>
      <c r="E28" s="265"/>
      <c r="F28" s="274"/>
      <c r="G28" s="302"/>
    </row>
    <row r="29" spans="1:7" x14ac:dyDescent="0.2">
      <c r="A29" s="416" t="s">
        <v>330</v>
      </c>
      <c r="B29" s="417"/>
      <c r="C29" s="417"/>
      <c r="D29" s="417"/>
      <c r="E29" s="417"/>
      <c r="F29" s="276"/>
      <c r="G29" s="301"/>
    </row>
    <row r="30" spans="1:7" ht="14.25" x14ac:dyDescent="0.2">
      <c r="A30" s="422"/>
      <c r="B30" s="423"/>
      <c r="C30" s="423"/>
      <c r="D30" s="423"/>
      <c r="E30" s="423"/>
      <c r="F30" s="424"/>
      <c r="G30" s="300"/>
    </row>
    <row r="31" spans="1:7" x14ac:dyDescent="0.2">
      <c r="A31" s="308">
        <v>3</v>
      </c>
      <c r="B31" s="425" t="s">
        <v>420</v>
      </c>
      <c r="C31" s="425"/>
      <c r="D31" s="425"/>
      <c r="E31" s="425"/>
      <c r="F31" s="426"/>
      <c r="G31" s="300"/>
    </row>
    <row r="32" spans="1:7" ht="102" x14ac:dyDescent="0.2">
      <c r="A32" s="237" t="s">
        <v>421</v>
      </c>
      <c r="B32" s="277" t="s">
        <v>422</v>
      </c>
      <c r="C32" s="278" t="s">
        <v>423</v>
      </c>
      <c r="D32" s="279">
        <v>100</v>
      </c>
      <c r="E32" s="280"/>
      <c r="F32" s="274"/>
      <c r="G32" s="302"/>
    </row>
    <row r="33" spans="1:7" ht="76.5" x14ac:dyDescent="0.2">
      <c r="A33" s="237" t="s">
        <v>424</v>
      </c>
      <c r="B33" s="277" t="s">
        <v>425</v>
      </c>
      <c r="C33" s="278" t="s">
        <v>426</v>
      </c>
      <c r="D33" s="279">
        <v>1</v>
      </c>
      <c r="E33" s="280"/>
      <c r="F33" s="274"/>
      <c r="G33" s="304"/>
    </row>
    <row r="34" spans="1:7" ht="191.25" x14ac:dyDescent="0.2">
      <c r="A34" s="237" t="s">
        <v>428</v>
      </c>
      <c r="B34" s="277" t="s">
        <v>430</v>
      </c>
      <c r="C34" s="278" t="s">
        <v>44</v>
      </c>
      <c r="D34" s="279">
        <v>1200</v>
      </c>
      <c r="E34" s="280"/>
      <c r="F34" s="274"/>
      <c r="G34" s="303"/>
    </row>
    <row r="35" spans="1:7" ht="89.25" x14ac:dyDescent="0.2">
      <c r="A35" s="237" t="s">
        <v>431</v>
      </c>
      <c r="B35" s="277" t="s">
        <v>432</v>
      </c>
      <c r="C35" s="278" t="s">
        <v>44</v>
      </c>
      <c r="D35" s="279">
        <f>(3.1416/4)*6*7</f>
        <v>32.986799999999995</v>
      </c>
      <c r="E35" s="280"/>
      <c r="F35" s="274"/>
      <c r="G35" s="304"/>
    </row>
    <row r="36" spans="1:7" ht="76.5" x14ac:dyDescent="0.2">
      <c r="A36" s="237" t="s">
        <v>431</v>
      </c>
      <c r="B36" s="277" t="s">
        <v>434</v>
      </c>
      <c r="C36" s="278" t="s">
        <v>44</v>
      </c>
      <c r="D36" s="279">
        <v>7</v>
      </c>
      <c r="E36" s="280"/>
      <c r="F36" s="274"/>
      <c r="G36" s="304"/>
    </row>
    <row r="37" spans="1:7" ht="114.75" x14ac:dyDescent="0.2">
      <c r="A37" s="237" t="s">
        <v>435</v>
      </c>
      <c r="B37" s="277" t="s">
        <v>437</v>
      </c>
      <c r="C37" s="278" t="s">
        <v>44</v>
      </c>
      <c r="D37" s="279">
        <v>800</v>
      </c>
      <c r="E37" s="280"/>
      <c r="F37" s="274"/>
      <c r="G37" s="303"/>
    </row>
    <row r="38" spans="1:7" ht="14.25" x14ac:dyDescent="0.2">
      <c r="A38" s="237" t="s">
        <v>438</v>
      </c>
      <c r="B38" s="282" t="s">
        <v>439</v>
      </c>
      <c r="C38" s="278" t="s">
        <v>413</v>
      </c>
      <c r="D38" s="279">
        <v>8000</v>
      </c>
      <c r="E38" s="280"/>
      <c r="F38" s="274"/>
      <c r="G38" s="303"/>
    </row>
    <row r="39" spans="1:7" x14ac:dyDescent="0.2">
      <c r="A39" s="416" t="s">
        <v>336</v>
      </c>
      <c r="B39" s="417"/>
      <c r="C39" s="417"/>
      <c r="D39" s="417"/>
      <c r="E39" s="417"/>
      <c r="F39" s="283"/>
      <c r="G39" s="303"/>
    </row>
    <row r="40" spans="1:7" x14ac:dyDescent="0.2">
      <c r="A40" s="416" t="s">
        <v>451</v>
      </c>
      <c r="B40" s="417"/>
      <c r="C40" s="417"/>
      <c r="D40" s="417"/>
      <c r="E40" s="418"/>
      <c r="F40" s="284"/>
      <c r="G40" s="301"/>
    </row>
    <row r="41" spans="1:7" ht="13.5" thickBot="1" x14ac:dyDescent="0.25">
      <c r="A41" s="383" t="s">
        <v>390</v>
      </c>
      <c r="B41" s="384"/>
      <c r="C41" s="384"/>
      <c r="D41" s="384"/>
      <c r="E41" s="384"/>
      <c r="F41" s="385"/>
      <c r="G41" s="301"/>
    </row>
    <row r="42" spans="1:7" x14ac:dyDescent="0.2">
      <c r="A42" s="305"/>
      <c r="B42" s="305"/>
      <c r="C42" s="305"/>
      <c r="D42" s="305"/>
      <c r="E42" s="305"/>
      <c r="F42" s="305"/>
      <c r="G42" s="301"/>
    </row>
    <row r="43" spans="1:7" x14ac:dyDescent="0.2">
      <c r="A43" s="305"/>
      <c r="B43" s="305"/>
      <c r="C43" s="305"/>
      <c r="D43" s="305"/>
      <c r="E43" s="305"/>
      <c r="F43" s="305"/>
      <c r="G43" s="301"/>
    </row>
    <row r="45" spans="1:7" x14ac:dyDescent="0.2">
      <c r="A45" s="461" t="s">
        <v>445</v>
      </c>
      <c r="B45" s="461"/>
      <c r="C45" s="461"/>
      <c r="D45" s="461"/>
      <c r="E45" s="461"/>
    </row>
    <row r="46" spans="1:7" x14ac:dyDescent="0.2">
      <c r="A46" s="459" t="s">
        <v>446</v>
      </c>
      <c r="B46" s="459"/>
      <c r="C46" s="459"/>
      <c r="D46" s="459"/>
      <c r="E46" s="459"/>
      <c r="F46" s="44">
        <f>+F15</f>
        <v>0</v>
      </c>
    </row>
    <row r="47" spans="1:7" x14ac:dyDescent="0.2">
      <c r="A47" s="459" t="s">
        <v>450</v>
      </c>
      <c r="B47" s="459"/>
      <c r="C47" s="459"/>
      <c r="D47" s="459"/>
      <c r="E47" s="459"/>
      <c r="F47" s="306">
        <f>+F40</f>
        <v>0</v>
      </c>
    </row>
    <row r="48" spans="1:7" x14ac:dyDescent="0.2">
      <c r="A48" s="459" t="s">
        <v>447</v>
      </c>
      <c r="B48" s="459"/>
      <c r="C48" s="459"/>
      <c r="D48" s="459"/>
      <c r="E48" s="459"/>
      <c r="F48" s="306">
        <f>+F47+F46</f>
        <v>0</v>
      </c>
    </row>
    <row r="49" spans="1:1" x14ac:dyDescent="0.2">
      <c r="A49" s="309"/>
    </row>
  </sheetData>
  <mergeCells count="24">
    <mergeCell ref="A47:E47"/>
    <mergeCell ref="A48:E48"/>
    <mergeCell ref="A5:F5"/>
    <mergeCell ref="B31:F31"/>
    <mergeCell ref="A39:E39"/>
    <mergeCell ref="A40:E40"/>
    <mergeCell ref="A41:F41"/>
    <mergeCell ref="A45:E45"/>
    <mergeCell ref="A46:E46"/>
    <mergeCell ref="A19:F19"/>
    <mergeCell ref="B20:F20"/>
    <mergeCell ref="B21:F21"/>
    <mergeCell ref="B24:F24"/>
    <mergeCell ref="A29:E29"/>
    <mergeCell ref="A30:F30"/>
    <mergeCell ref="A1:F1"/>
    <mergeCell ref="A3:F3"/>
    <mergeCell ref="A4:F4"/>
    <mergeCell ref="A6:A7"/>
    <mergeCell ref="B6:B7"/>
    <mergeCell ref="C6:C7"/>
    <mergeCell ref="D6:D7"/>
    <mergeCell ref="E6:E7"/>
    <mergeCell ref="F6:F7"/>
  </mergeCells>
  <pageMargins left="0.59055118110236227" right="0.19685039370078741" top="0.51181102362204722" bottom="0.39370078740157483" header="0.51181102362204722" footer="0.51181102362204722"/>
  <pageSetup paperSize="9" orientation="portrait" horizontalDpi="4294967295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H15"/>
  <sheetViews>
    <sheetView view="pageBreakPreview" zoomScaleNormal="100" zoomScaleSheetLayoutView="100" workbookViewId="0">
      <selection activeCell="A15" sqref="A15"/>
    </sheetView>
  </sheetViews>
  <sheetFormatPr defaultColWidth="10.6640625" defaultRowHeight="12.75" x14ac:dyDescent="0.2"/>
  <cols>
    <col min="1" max="1" width="7" style="97" customWidth="1"/>
    <col min="2" max="2" width="45.5" style="87" customWidth="1"/>
    <col min="3" max="3" width="10.1640625" style="87" customWidth="1"/>
    <col min="4" max="4" width="14.5" style="97" customWidth="1"/>
    <col min="5" max="5" width="10.6640625" style="87" customWidth="1"/>
    <col min="6" max="6" width="15.5" style="87" customWidth="1"/>
    <col min="7" max="7" width="18.33203125" style="87" customWidth="1"/>
    <col min="8" max="8" width="26" style="87" customWidth="1"/>
    <col min="9" max="16384" width="10.6640625" style="87"/>
  </cols>
  <sheetData>
    <row r="1" spans="1:8" ht="18" x14ac:dyDescent="0.25">
      <c r="A1" s="471" t="str">
        <f>+[5]COLETOR!A1</f>
        <v>PREFEITURA MUNICIPAL DE VARZEA GRANDE</v>
      </c>
      <c r="B1" s="471"/>
      <c r="C1" s="471"/>
      <c r="D1" s="471"/>
      <c r="E1" s="471"/>
      <c r="F1" s="471"/>
      <c r="G1" s="471"/>
      <c r="H1" s="471"/>
    </row>
    <row r="2" spans="1:8" ht="18" x14ac:dyDescent="0.25">
      <c r="A2" s="88"/>
      <c r="B2" s="88"/>
      <c r="C2" s="88"/>
      <c r="D2" s="88"/>
      <c r="E2" s="88"/>
      <c r="F2" s="122"/>
      <c r="G2" s="122"/>
      <c r="H2" s="88"/>
    </row>
    <row r="3" spans="1:8" ht="18" x14ac:dyDescent="0.25">
      <c r="A3" s="472"/>
      <c r="B3" s="472"/>
      <c r="C3" s="472"/>
      <c r="D3" s="472"/>
      <c r="E3" s="472"/>
      <c r="F3" s="472"/>
      <c r="G3" s="472"/>
      <c r="H3" s="472"/>
    </row>
    <row r="4" spans="1:8" ht="18" x14ac:dyDescent="0.25">
      <c r="A4" s="101"/>
      <c r="B4" s="101"/>
      <c r="C4" s="101"/>
      <c r="D4" s="101"/>
      <c r="E4" s="101"/>
      <c r="F4" s="123"/>
      <c r="G4" s="123"/>
      <c r="H4" s="101"/>
    </row>
    <row r="5" spans="1:8" ht="19.5" x14ac:dyDescent="0.3">
      <c r="A5" s="473" t="s">
        <v>206</v>
      </c>
      <c r="B5" s="473"/>
      <c r="C5" s="473"/>
      <c r="D5" s="473"/>
      <c r="E5" s="473"/>
      <c r="F5" s="473"/>
      <c r="G5" s="473"/>
      <c r="H5" s="473"/>
    </row>
    <row r="6" spans="1:8" ht="19.5" x14ac:dyDescent="0.3">
      <c r="A6" s="473"/>
      <c r="B6" s="473"/>
      <c r="C6" s="473"/>
      <c r="D6" s="473"/>
      <c r="E6" s="473"/>
      <c r="F6" s="473"/>
      <c r="G6" s="473"/>
      <c r="H6" s="473"/>
    </row>
    <row r="7" spans="1:8" x14ac:dyDescent="0.2">
      <c r="A7" s="87"/>
      <c r="D7" s="87"/>
    </row>
    <row r="8" spans="1:8" ht="13.5" thickBot="1" x14ac:dyDescent="0.25">
      <c r="A8" s="86"/>
      <c r="B8" s="85"/>
      <c r="C8" s="85"/>
      <c r="D8" s="86"/>
      <c r="E8" s="85"/>
      <c r="F8" s="85"/>
      <c r="G8" s="85"/>
      <c r="H8" s="85"/>
    </row>
    <row r="9" spans="1:8" s="89" customFormat="1" ht="12.75" customHeight="1" x14ac:dyDescent="0.2">
      <c r="A9" s="474" t="s">
        <v>175</v>
      </c>
      <c r="B9" s="476" t="s">
        <v>176</v>
      </c>
      <c r="C9" s="476" t="s">
        <v>207</v>
      </c>
      <c r="D9" s="478" t="s">
        <v>208</v>
      </c>
      <c r="E9" s="476" t="s">
        <v>220</v>
      </c>
      <c r="F9" s="480" t="s">
        <v>302</v>
      </c>
      <c r="G9" s="480" t="s">
        <v>281</v>
      </c>
      <c r="H9" s="480" t="s">
        <v>241</v>
      </c>
    </row>
    <row r="10" spans="1:8" s="89" customFormat="1" ht="27.75" customHeight="1" x14ac:dyDescent="0.2">
      <c r="A10" s="475"/>
      <c r="B10" s="477"/>
      <c r="C10" s="477"/>
      <c r="D10" s="479"/>
      <c r="E10" s="477"/>
      <c r="F10" s="481"/>
      <c r="G10" s="481"/>
      <c r="H10" s="481"/>
    </row>
    <row r="11" spans="1:8" s="90" customFormat="1" ht="25.5" x14ac:dyDescent="0.2">
      <c r="A11" s="91" t="s">
        <v>185</v>
      </c>
      <c r="B11" s="92" t="str">
        <f>+[6]planilha!B8</f>
        <v>Coleta e transporte de resíduos domiciliares, comerciais e de varrição</v>
      </c>
      <c r="C11" s="93">
        <f>+DOMICILIAR!D18+DOMICILIAR!F18</f>
        <v>2</v>
      </c>
      <c r="D11" s="93">
        <f>+DOMICILIAR!D24+DOMICILIAR!F24</f>
        <v>18</v>
      </c>
      <c r="E11" s="93">
        <f>+DOMICILIAR!D12+DOMICILIAR!F12</f>
        <v>56</v>
      </c>
      <c r="F11" s="93">
        <f>+BASICA!C11</f>
        <v>300</v>
      </c>
      <c r="G11" s="93">
        <f>+DOMICILIAR!D36</f>
        <v>5</v>
      </c>
      <c r="H11" s="94">
        <f>+DOMICILIAR!D33</f>
        <v>7</v>
      </c>
    </row>
    <row r="12" spans="1:8" s="90" customFormat="1" ht="26.25" thickBot="1" x14ac:dyDescent="0.25">
      <c r="A12" s="153" t="s">
        <v>195</v>
      </c>
      <c r="B12" s="327" t="s">
        <v>243</v>
      </c>
      <c r="C12" s="328">
        <v>0</v>
      </c>
      <c r="D12" s="328">
        <v>0</v>
      </c>
      <c r="E12" s="328">
        <v>0</v>
      </c>
      <c r="F12" s="328"/>
      <c r="G12" s="328"/>
      <c r="H12" s="329">
        <v>0</v>
      </c>
    </row>
    <row r="13" spans="1:8" x14ac:dyDescent="0.2">
      <c r="A13" s="95"/>
      <c r="B13" s="96"/>
    </row>
    <row r="14" spans="1:8" ht="15" x14ac:dyDescent="0.25">
      <c r="A14" s="330" t="s">
        <v>481</v>
      </c>
      <c r="B14" s="96"/>
    </row>
    <row r="15" spans="1:8" ht="15" x14ac:dyDescent="0.25">
      <c r="A15" s="331" t="s">
        <v>244</v>
      </c>
      <c r="B15" s="96"/>
    </row>
  </sheetData>
  <mergeCells count="12">
    <mergeCell ref="A1:H1"/>
    <mergeCell ref="A3:H3"/>
    <mergeCell ref="A5:H5"/>
    <mergeCell ref="A9:A10"/>
    <mergeCell ref="B9:B10"/>
    <mergeCell ref="C9:C10"/>
    <mergeCell ref="D9:D10"/>
    <mergeCell ref="E9:E10"/>
    <mergeCell ref="H9:H10"/>
    <mergeCell ref="A6:H6"/>
    <mergeCell ref="G9:G10"/>
    <mergeCell ref="F9:F10"/>
  </mergeCells>
  <printOptions horizontalCentered="1" verticalCentered="1"/>
  <pageMargins left="0.59055118110236227" right="0" top="0" bottom="0" header="0.51181102362204722" footer="0.51181102362204722"/>
  <pageSetup paperSize="9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26"/>
  <sheetViews>
    <sheetView view="pageBreakPreview" zoomScale="85" zoomScaleNormal="100" zoomScaleSheetLayoutView="85" workbookViewId="0">
      <selection activeCell="A26" sqref="A26:G26"/>
    </sheetView>
  </sheetViews>
  <sheetFormatPr defaultColWidth="8.83203125" defaultRowHeight="15" x14ac:dyDescent="0.25"/>
  <cols>
    <col min="1" max="1" width="6.1640625" style="218" customWidth="1"/>
    <col min="2" max="2" width="9.6640625" style="218" customWidth="1"/>
    <col min="3" max="3" width="39.5" style="218" customWidth="1"/>
    <col min="4" max="4" width="15.83203125" style="218" customWidth="1"/>
    <col min="5" max="5" width="12.1640625" style="218" customWidth="1"/>
    <col min="6" max="6" width="13.1640625" style="218" customWidth="1"/>
    <col min="7" max="7" width="13.33203125" style="218" bestFit="1" customWidth="1"/>
    <col min="8" max="8" width="12.6640625" style="256" customWidth="1"/>
    <col min="9" max="9" width="9.5" style="218" bestFit="1" customWidth="1"/>
    <col min="10" max="10" width="21.6640625" style="275" customWidth="1"/>
    <col min="11" max="16384" width="8.83203125" style="218"/>
  </cols>
  <sheetData>
    <row r="1" spans="1:10" ht="15.75" x14ac:dyDescent="0.25">
      <c r="A1" s="397" t="s">
        <v>348</v>
      </c>
      <c r="B1" s="398"/>
      <c r="C1" s="399"/>
      <c r="D1" s="399"/>
      <c r="E1" s="399"/>
      <c r="F1" s="399"/>
      <c r="G1" s="400"/>
      <c r="H1" s="217"/>
    </row>
    <row r="2" spans="1:10" ht="15.75" thickBot="1" x14ac:dyDescent="0.3">
      <c r="A2" s="401" t="s">
        <v>349</v>
      </c>
      <c r="B2" s="402"/>
      <c r="C2" s="403"/>
      <c r="D2" s="403"/>
      <c r="E2" s="403"/>
      <c r="F2" s="403"/>
      <c r="G2" s="404"/>
      <c r="H2" s="217"/>
    </row>
    <row r="3" spans="1:10" x14ac:dyDescent="0.25">
      <c r="A3" s="405" t="s">
        <v>350</v>
      </c>
      <c r="B3" s="406"/>
      <c r="C3" s="407"/>
      <c r="D3" s="407"/>
      <c r="E3" s="407"/>
      <c r="F3" s="407"/>
      <c r="G3" s="408"/>
      <c r="H3" s="217"/>
    </row>
    <row r="4" spans="1:10" x14ac:dyDescent="0.25">
      <c r="A4" s="219"/>
      <c r="B4" s="220"/>
      <c r="C4" s="221"/>
      <c r="D4" s="221"/>
      <c r="E4" s="221"/>
      <c r="F4" s="409" t="s">
        <v>351</v>
      </c>
      <c r="G4" s="410"/>
      <c r="H4" s="222">
        <v>1.2</v>
      </c>
    </row>
    <row r="5" spans="1:10" x14ac:dyDescent="0.25">
      <c r="A5" s="223" t="s">
        <v>175</v>
      </c>
      <c r="B5" s="224" t="s">
        <v>352</v>
      </c>
      <c r="C5" s="225" t="s">
        <v>322</v>
      </c>
      <c r="D5" s="225" t="s">
        <v>353</v>
      </c>
      <c r="E5" s="225" t="s">
        <v>354</v>
      </c>
      <c r="F5" s="225" t="s">
        <v>355</v>
      </c>
      <c r="G5" s="226" t="s">
        <v>356</v>
      </c>
      <c r="H5" s="217"/>
    </row>
    <row r="6" spans="1:10" x14ac:dyDescent="0.25">
      <c r="A6" s="223">
        <v>1</v>
      </c>
      <c r="B6" s="224"/>
      <c r="C6" s="390" t="s">
        <v>326</v>
      </c>
      <c r="D6" s="390"/>
      <c r="E6" s="390"/>
      <c r="F6" s="390"/>
      <c r="G6" s="391"/>
      <c r="H6" s="217"/>
    </row>
    <row r="7" spans="1:10" x14ac:dyDescent="0.25">
      <c r="A7" s="227" t="s">
        <v>357</v>
      </c>
      <c r="B7" s="228">
        <v>90778</v>
      </c>
      <c r="C7" s="229" t="s">
        <v>358</v>
      </c>
      <c r="D7" s="230" t="s">
        <v>375</v>
      </c>
      <c r="E7" s="231">
        <f>0.25*220</f>
        <v>55</v>
      </c>
      <c r="F7" s="231">
        <v>105.4</v>
      </c>
      <c r="G7" s="232">
        <f t="shared" ref="G7:G12" si="0">ROUND(E7*F7,2)</f>
        <v>5797</v>
      </c>
      <c r="H7" s="233" t="s">
        <v>360</v>
      </c>
      <c r="J7" s="315">
        <v>105.4</v>
      </c>
    </row>
    <row r="8" spans="1:10" x14ac:dyDescent="0.25">
      <c r="A8" s="227" t="s">
        <v>361</v>
      </c>
      <c r="B8" s="228"/>
      <c r="C8" s="229" t="s">
        <v>362</v>
      </c>
      <c r="D8" s="230" t="s">
        <v>359</v>
      </c>
      <c r="E8" s="231">
        <v>1</v>
      </c>
      <c r="F8" s="231">
        <f>+FISCAL!B29</f>
        <v>5047.53</v>
      </c>
      <c r="G8" s="232">
        <f t="shared" si="0"/>
        <v>5047.53</v>
      </c>
      <c r="H8" s="233" t="s">
        <v>320</v>
      </c>
      <c r="J8" s="314"/>
    </row>
    <row r="9" spans="1:10" x14ac:dyDescent="0.25">
      <c r="A9" s="227" t="s">
        <v>363</v>
      </c>
      <c r="B9" s="228"/>
      <c r="C9" s="229" t="s">
        <v>364</v>
      </c>
      <c r="D9" s="230" t="s">
        <v>359</v>
      </c>
      <c r="E9" s="231">
        <v>1</v>
      </c>
      <c r="F9" s="231">
        <f>+ADM!B16*1.95</f>
        <v>4095</v>
      </c>
      <c r="G9" s="232">
        <f t="shared" si="0"/>
        <v>4095</v>
      </c>
      <c r="H9" s="233" t="s">
        <v>320</v>
      </c>
      <c r="J9" s="314"/>
    </row>
    <row r="10" spans="1:10" x14ac:dyDescent="0.25">
      <c r="A10" s="227" t="s">
        <v>365</v>
      </c>
      <c r="B10" s="228"/>
      <c r="C10" s="229" t="s">
        <v>366</v>
      </c>
      <c r="D10" s="230" t="s">
        <v>359</v>
      </c>
      <c r="E10" s="231">
        <v>10</v>
      </c>
      <c r="F10" s="231">
        <f>+COLETOR!B27</f>
        <v>3918.9569400000005</v>
      </c>
      <c r="G10" s="232">
        <f t="shared" si="0"/>
        <v>39189.57</v>
      </c>
      <c r="H10" s="233" t="s">
        <v>320</v>
      </c>
      <c r="J10" s="314"/>
    </row>
    <row r="11" spans="1:10" x14ac:dyDescent="0.25">
      <c r="A11" s="227" t="s">
        <v>367</v>
      </c>
      <c r="B11" s="228">
        <v>90781</v>
      </c>
      <c r="C11" s="229" t="s">
        <v>368</v>
      </c>
      <c r="D11" s="230" t="str">
        <f>+D7</f>
        <v>HORA/MÊS</v>
      </c>
      <c r="E11" s="231">
        <f>0.2*220</f>
        <v>44</v>
      </c>
      <c r="F11" s="231">
        <v>18.73</v>
      </c>
      <c r="G11" s="232">
        <f t="shared" si="0"/>
        <v>824.12</v>
      </c>
      <c r="H11" s="233" t="s">
        <v>360</v>
      </c>
      <c r="J11" s="315">
        <v>18.73</v>
      </c>
    </row>
    <row r="12" spans="1:10" x14ac:dyDescent="0.25">
      <c r="A12" s="227" t="s">
        <v>369</v>
      </c>
      <c r="B12" s="228"/>
      <c r="C12" s="229" t="s">
        <v>370</v>
      </c>
      <c r="D12" s="230" t="s">
        <v>359</v>
      </c>
      <c r="E12" s="231">
        <v>4</v>
      </c>
      <c r="F12" s="231">
        <f>+ADM!B18*1.95</f>
        <v>2336.1</v>
      </c>
      <c r="G12" s="232">
        <f t="shared" si="0"/>
        <v>9344.4</v>
      </c>
      <c r="H12" s="233" t="s">
        <v>320</v>
      </c>
      <c r="J12" s="314"/>
    </row>
    <row r="13" spans="1:10" x14ac:dyDescent="0.25">
      <c r="A13" s="227"/>
      <c r="B13" s="228"/>
      <c r="C13" s="396" t="s">
        <v>330</v>
      </c>
      <c r="D13" s="396"/>
      <c r="E13" s="396"/>
      <c r="F13" s="396"/>
      <c r="G13" s="234">
        <f>SUM(G7:G12)</f>
        <v>64297.62</v>
      </c>
      <c r="H13" s="235"/>
      <c r="J13" s="316"/>
    </row>
    <row r="14" spans="1:10" x14ac:dyDescent="0.25">
      <c r="A14" s="386"/>
      <c r="B14" s="387"/>
      <c r="C14" s="388"/>
      <c r="D14" s="388"/>
      <c r="E14" s="388"/>
      <c r="F14" s="388"/>
      <c r="G14" s="389"/>
      <c r="H14" s="235"/>
      <c r="J14" s="316"/>
    </row>
    <row r="15" spans="1:10" x14ac:dyDescent="0.25">
      <c r="A15" s="223">
        <v>2</v>
      </c>
      <c r="B15" s="224"/>
      <c r="C15" s="390" t="s">
        <v>371</v>
      </c>
      <c r="D15" s="390"/>
      <c r="E15" s="390"/>
      <c r="F15" s="390"/>
      <c r="G15" s="391"/>
      <c r="H15" s="235"/>
      <c r="J15" s="316"/>
    </row>
    <row r="16" spans="1:10" ht="42.75" x14ac:dyDescent="0.25">
      <c r="A16" s="237" t="s">
        <v>372</v>
      </c>
      <c r="B16" s="238" t="s">
        <v>373</v>
      </c>
      <c r="C16" s="239" t="s">
        <v>374</v>
      </c>
      <c r="D16" s="230" t="s">
        <v>375</v>
      </c>
      <c r="E16" s="231">
        <v>200</v>
      </c>
      <c r="F16" s="231">
        <v>214.24</v>
      </c>
      <c r="G16" s="232">
        <f>ROUND(E16*F16,2)</f>
        <v>42848</v>
      </c>
      <c r="H16" s="240" t="s">
        <v>376</v>
      </c>
      <c r="I16" s="241"/>
      <c r="J16" s="319">
        <v>214.24</v>
      </c>
    </row>
    <row r="17" spans="1:12" ht="28.5" x14ac:dyDescent="0.25">
      <c r="A17" s="237" t="s">
        <v>377</v>
      </c>
      <c r="B17" s="238" t="s">
        <v>378</v>
      </c>
      <c r="C17" s="239" t="s">
        <v>379</v>
      </c>
      <c r="D17" s="230" t="s">
        <v>375</v>
      </c>
      <c r="E17" s="231">
        <v>360</v>
      </c>
      <c r="F17" s="231">
        <v>173.98</v>
      </c>
      <c r="G17" s="232">
        <f>ROUND(E17*F17,2)</f>
        <v>62632.800000000003</v>
      </c>
      <c r="H17" s="240" t="s">
        <v>376</v>
      </c>
      <c r="I17" s="241"/>
      <c r="J17" s="319">
        <v>173.98</v>
      </c>
    </row>
    <row r="18" spans="1:12" ht="28.5" x14ac:dyDescent="0.25">
      <c r="A18" s="237" t="s">
        <v>380</v>
      </c>
      <c r="B18" s="238">
        <v>5811</v>
      </c>
      <c r="C18" s="242" t="s">
        <v>381</v>
      </c>
      <c r="D18" s="230" t="s">
        <v>375</v>
      </c>
      <c r="E18" s="231">
        <v>400</v>
      </c>
      <c r="F18" s="231">
        <v>174.22</v>
      </c>
      <c r="G18" s="232">
        <f>ROUND(E18*F18,2)</f>
        <v>69688</v>
      </c>
      <c r="H18" s="240" t="str">
        <f>+H11</f>
        <v>SINAPI/MT-JUN/19</v>
      </c>
      <c r="I18" s="241"/>
      <c r="J18" s="319">
        <v>174.22</v>
      </c>
      <c r="L18" s="246"/>
    </row>
    <row r="19" spans="1:12" ht="85.5" x14ac:dyDescent="0.25">
      <c r="A19" s="237" t="s">
        <v>382</v>
      </c>
      <c r="B19" s="238"/>
      <c r="C19" s="242" t="s">
        <v>383</v>
      </c>
      <c r="D19" s="230" t="s">
        <v>384</v>
      </c>
      <c r="E19" s="231">
        <v>1</v>
      </c>
      <c r="F19" s="231">
        <f>+BALANÇA!G31</f>
        <v>16920.207974999998</v>
      </c>
      <c r="G19" s="232">
        <f>ROUND(E19*F19,2)</f>
        <v>16920.21</v>
      </c>
      <c r="H19" s="240" t="str">
        <f>+H12</f>
        <v>COMPOSIÇÃO</v>
      </c>
      <c r="J19" s="319"/>
    </row>
    <row r="20" spans="1:12" x14ac:dyDescent="0.25">
      <c r="A20" s="227"/>
      <c r="B20" s="228"/>
      <c r="C20" s="392" t="s">
        <v>336</v>
      </c>
      <c r="D20" s="392"/>
      <c r="E20" s="392"/>
      <c r="F20" s="392"/>
      <c r="G20" s="243">
        <f>SUM(G16:G19)</f>
        <v>192089.00999999998</v>
      </c>
      <c r="H20" s="235"/>
      <c r="J20" s="316"/>
    </row>
    <row r="21" spans="1:12" x14ac:dyDescent="0.25">
      <c r="A21" s="227"/>
      <c r="B21" s="244"/>
      <c r="C21" s="393" t="s">
        <v>385</v>
      </c>
      <c r="D21" s="394"/>
      <c r="E21" s="394"/>
      <c r="F21" s="395"/>
      <c r="G21" s="243">
        <f>G20+G13</f>
        <v>256386.62999999998</v>
      </c>
      <c r="H21" s="245"/>
      <c r="J21" s="316"/>
    </row>
    <row r="22" spans="1:12" x14ac:dyDescent="0.25">
      <c r="A22" s="227"/>
      <c r="B22" s="244"/>
      <c r="C22" s="393" t="s">
        <v>386</v>
      </c>
      <c r="D22" s="394"/>
      <c r="E22" s="394"/>
      <c r="F22" s="395"/>
      <c r="G22" s="243">
        <f>+DOMICILIAR!D76</f>
        <v>5150</v>
      </c>
      <c r="H22" s="235"/>
      <c r="I22" s="246"/>
      <c r="J22" s="316"/>
    </row>
    <row r="23" spans="1:12" ht="15.75" thickBot="1" x14ac:dyDescent="0.3">
      <c r="A23" s="247"/>
      <c r="B23" s="248"/>
      <c r="C23" s="380" t="s">
        <v>387</v>
      </c>
      <c r="D23" s="381"/>
      <c r="E23" s="381"/>
      <c r="F23" s="382"/>
      <c r="G23" s="249">
        <f>ROUND(G21/G22,2)</f>
        <v>49.78</v>
      </c>
      <c r="H23" s="235"/>
      <c r="I23" s="246"/>
      <c r="J23" s="316"/>
    </row>
    <row r="24" spans="1:12" ht="15.75" thickBot="1" x14ac:dyDescent="0.3">
      <c r="A24" s="250"/>
      <c r="B24" s="248"/>
      <c r="C24" s="251" t="s">
        <v>388</v>
      </c>
      <c r="D24" s="252"/>
      <c r="E24" s="252"/>
      <c r="F24" s="253"/>
      <c r="G24" s="254">
        <f>+G23*0.2925</f>
        <v>14.560649999999999</v>
      </c>
      <c r="H24" s="235"/>
      <c r="I24" s="246"/>
      <c r="J24" s="316"/>
    </row>
    <row r="25" spans="1:12" ht="15.75" thickBot="1" x14ac:dyDescent="0.3">
      <c r="A25" s="247"/>
      <c r="B25" s="248"/>
      <c r="C25" s="380" t="s">
        <v>389</v>
      </c>
      <c r="D25" s="381"/>
      <c r="E25" s="381"/>
      <c r="F25" s="382"/>
      <c r="G25" s="249">
        <f>TRUNC((G24+G23),4)</f>
        <v>64.340599999999995</v>
      </c>
      <c r="H25" s="235"/>
      <c r="I25" s="246"/>
      <c r="J25" s="316"/>
    </row>
    <row r="26" spans="1:12" s="255" customFormat="1" ht="13.5" thickBot="1" x14ac:dyDescent="0.25">
      <c r="A26" s="383" t="s">
        <v>390</v>
      </c>
      <c r="B26" s="384"/>
      <c r="C26" s="384"/>
      <c r="D26" s="384"/>
      <c r="E26" s="384"/>
      <c r="F26" s="384"/>
      <c r="G26" s="385"/>
      <c r="J26" s="318"/>
    </row>
  </sheetData>
  <mergeCells count="14">
    <mergeCell ref="C13:F13"/>
    <mergeCell ref="A1:G1"/>
    <mergeCell ref="A2:G2"/>
    <mergeCell ref="A3:G3"/>
    <mergeCell ref="F4:G4"/>
    <mergeCell ref="C6:G6"/>
    <mergeCell ref="C25:F25"/>
    <mergeCell ref="A26:G26"/>
    <mergeCell ref="A14:G14"/>
    <mergeCell ref="C15:G15"/>
    <mergeCell ref="C20:F20"/>
    <mergeCell ref="C21:F21"/>
    <mergeCell ref="C22:F22"/>
    <mergeCell ref="C23:F23"/>
  </mergeCells>
  <printOptions horizontalCentered="1"/>
  <pageMargins left="0.31496062992125984" right="0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E85"/>
  <sheetViews>
    <sheetView view="pageBreakPreview" zoomScale="85" zoomScaleNormal="100" zoomScaleSheetLayoutView="85" workbookViewId="0">
      <selection activeCell="B50" sqref="B50"/>
    </sheetView>
  </sheetViews>
  <sheetFormatPr defaultColWidth="12" defaultRowHeight="12.75" x14ac:dyDescent="0.2"/>
  <cols>
    <col min="1" max="1" width="65" style="1" customWidth="1"/>
    <col min="2" max="3" width="12" style="1"/>
    <col min="4" max="4" width="15.6640625" style="1" bestFit="1" customWidth="1"/>
    <col min="5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x14ac:dyDescent="0.2">
      <c r="B2" s="13"/>
      <c r="C2" s="13"/>
      <c r="D2" s="13"/>
      <c r="E2" s="13"/>
    </row>
    <row r="3" spans="1:5" x14ac:dyDescent="0.2">
      <c r="A3" s="14" t="s">
        <v>0</v>
      </c>
      <c r="B3" s="14"/>
      <c r="C3" s="14"/>
      <c r="D3" s="14"/>
      <c r="E3" s="14"/>
    </row>
    <row r="4" spans="1:5" x14ac:dyDescent="0.2">
      <c r="A4" s="6"/>
      <c r="B4" s="6"/>
      <c r="C4" s="6"/>
      <c r="D4" s="6"/>
    </row>
    <row r="5" spans="1:5" x14ac:dyDescent="0.2">
      <c r="A5" s="98" t="s">
        <v>242</v>
      </c>
      <c r="B5" s="2"/>
      <c r="C5" s="2"/>
      <c r="D5" s="2"/>
    </row>
    <row r="7" spans="1:5" x14ac:dyDescent="0.2">
      <c r="A7" s="41" t="s">
        <v>1</v>
      </c>
      <c r="D7" s="84">
        <f>724/678</f>
        <v>1.0678466076696165</v>
      </c>
    </row>
    <row r="9" spans="1:5" x14ac:dyDescent="0.2">
      <c r="A9" s="41" t="s">
        <v>2</v>
      </c>
      <c r="B9" s="8">
        <v>1142.8900000000001</v>
      </c>
    </row>
    <row r="10" spans="1:5" x14ac:dyDescent="0.2">
      <c r="A10" s="41" t="s">
        <v>3</v>
      </c>
      <c r="B10" s="8">
        <f>+B9*0.4</f>
        <v>457.15600000000006</v>
      </c>
    </row>
    <row r="11" spans="1:5" x14ac:dyDescent="0.2">
      <c r="A11" s="22" t="s">
        <v>4</v>
      </c>
      <c r="B11" s="8">
        <f>SUM(B9:B10)</f>
        <v>1600.0460000000003</v>
      </c>
    </row>
    <row r="12" spans="1:5" x14ac:dyDescent="0.2">
      <c r="A12" s="41" t="s">
        <v>5</v>
      </c>
      <c r="B12" s="42">
        <v>0.95</v>
      </c>
    </row>
    <row r="13" spans="1:5" x14ac:dyDescent="0.2">
      <c r="A13" s="43" t="s">
        <v>6</v>
      </c>
      <c r="B13" s="44">
        <f>+B11+(B11*B12)</f>
        <v>3120.0897000000004</v>
      </c>
    </row>
    <row r="15" spans="1:5" x14ac:dyDescent="0.2">
      <c r="A15" s="41" t="s">
        <v>90</v>
      </c>
    </row>
    <row r="16" spans="1:5" x14ac:dyDescent="0.2">
      <c r="A16" s="1" t="s">
        <v>7</v>
      </c>
      <c r="C16" s="6"/>
      <c r="D16" s="6"/>
    </row>
    <row r="17" spans="1:4" x14ac:dyDescent="0.2">
      <c r="A17" s="41" t="s">
        <v>120</v>
      </c>
      <c r="B17" s="8">
        <f>ROUND((((B18+B19)*4)+(B20*6)+(B21*1))/12,2)</f>
        <v>40.67</v>
      </c>
      <c r="C17" s="6"/>
      <c r="D17" s="6"/>
    </row>
    <row r="18" spans="1:4" x14ac:dyDescent="0.2">
      <c r="A18" s="41" t="s">
        <v>152</v>
      </c>
      <c r="B18" s="8">
        <f>+PREÇOS!C26</f>
        <v>75</v>
      </c>
      <c r="C18" s="6"/>
      <c r="D18" s="6"/>
    </row>
    <row r="19" spans="1:4" x14ac:dyDescent="0.2">
      <c r="A19" s="41" t="s">
        <v>153</v>
      </c>
      <c r="B19" s="8">
        <f>+PREÇOS!C28</f>
        <v>31</v>
      </c>
      <c r="C19" s="6"/>
      <c r="D19" s="6"/>
    </row>
    <row r="20" spans="1:4" x14ac:dyDescent="0.2">
      <c r="A20" s="22" t="s">
        <v>154</v>
      </c>
      <c r="B20" s="8">
        <f>+PREÇOS!C27</f>
        <v>7</v>
      </c>
      <c r="C20" s="6"/>
      <c r="D20" s="6"/>
    </row>
    <row r="21" spans="1:4" x14ac:dyDescent="0.2">
      <c r="A21" s="22" t="s">
        <v>155</v>
      </c>
      <c r="B21" s="8">
        <f>[1]PREÇOS!C25</f>
        <v>22</v>
      </c>
      <c r="C21" s="6"/>
      <c r="D21" s="6"/>
    </row>
    <row r="22" spans="1:4" x14ac:dyDescent="0.2">
      <c r="A22" s="22" t="s">
        <v>245</v>
      </c>
      <c r="B22" s="35">
        <v>630</v>
      </c>
    </row>
    <row r="23" spans="1:4" x14ac:dyDescent="0.2">
      <c r="A23" s="22" t="s">
        <v>246</v>
      </c>
      <c r="B23" s="35">
        <f>4.1*52-0.06*B11</f>
        <v>117.19723999999998</v>
      </c>
      <c r="C23" s="8"/>
    </row>
    <row r="24" spans="1:4" x14ac:dyDescent="0.2">
      <c r="A24" s="22" t="s">
        <v>212</v>
      </c>
      <c r="B24" s="35">
        <v>11</v>
      </c>
    </row>
    <row r="25" spans="1:4" x14ac:dyDescent="0.2">
      <c r="A25" s="45" t="s">
        <v>213</v>
      </c>
      <c r="B25" s="46">
        <f>B22+B17+B23+B24</f>
        <v>798.86723999999992</v>
      </c>
    </row>
    <row r="27" spans="1:4" x14ac:dyDescent="0.2">
      <c r="A27" s="47" t="s">
        <v>9</v>
      </c>
      <c r="B27" s="48">
        <f>B25+B13</f>
        <v>3918.9569400000005</v>
      </c>
    </row>
    <row r="28" spans="1:4" x14ac:dyDescent="0.2">
      <c r="A28" s="47"/>
      <c r="B28" s="99"/>
    </row>
    <row r="30" spans="1:4" x14ac:dyDescent="0.2">
      <c r="A30" s="31" t="s">
        <v>146</v>
      </c>
      <c r="B30" s="2"/>
    </row>
    <row r="31" spans="1:4" x14ac:dyDescent="0.2">
      <c r="A31" s="6"/>
      <c r="B31" s="6"/>
    </row>
    <row r="33" spans="1:3" x14ac:dyDescent="0.2">
      <c r="A33" s="41" t="s">
        <v>1</v>
      </c>
    </row>
    <row r="35" spans="1:3" x14ac:dyDescent="0.2">
      <c r="A35" s="41" t="s">
        <v>2</v>
      </c>
      <c r="B35" s="8">
        <f>+B9</f>
        <v>1142.8900000000001</v>
      </c>
    </row>
    <row r="36" spans="1:3" x14ac:dyDescent="0.2">
      <c r="A36" s="41" t="s">
        <v>3</v>
      </c>
      <c r="B36" s="8">
        <f>+B35*0.4</f>
        <v>457.15600000000006</v>
      </c>
      <c r="C36" s="35"/>
    </row>
    <row r="37" spans="1:3" x14ac:dyDescent="0.2">
      <c r="A37" s="41" t="s">
        <v>150</v>
      </c>
      <c r="B37" s="8">
        <f>+B35/220*0.2*80</f>
        <v>83.11927272727273</v>
      </c>
      <c r="C37" s="35"/>
    </row>
    <row r="38" spans="1:3" ht="13.15" customHeight="1" x14ac:dyDescent="0.2">
      <c r="A38" s="22" t="s">
        <v>147</v>
      </c>
      <c r="B38" s="8">
        <f>SUM(B35:B37)</f>
        <v>1683.1652727272731</v>
      </c>
    </row>
    <row r="39" spans="1:3" ht="13.15" customHeight="1" x14ac:dyDescent="0.2">
      <c r="A39" s="41" t="s">
        <v>148</v>
      </c>
      <c r="B39" s="42">
        <f>+B12</f>
        <v>0.95</v>
      </c>
    </row>
    <row r="40" spans="1:3" ht="13.15" customHeight="1" x14ac:dyDescent="0.2">
      <c r="A40" s="43" t="s">
        <v>149</v>
      </c>
      <c r="B40" s="44">
        <f>+B38+(B38*B39)</f>
        <v>3282.1722818181825</v>
      </c>
    </row>
    <row r="42" spans="1:3" x14ac:dyDescent="0.2">
      <c r="A42" s="41" t="s">
        <v>90</v>
      </c>
    </row>
    <row r="43" spans="1:3" x14ac:dyDescent="0.2">
      <c r="A43" s="1" t="s">
        <v>7</v>
      </c>
    </row>
    <row r="44" spans="1:3" x14ac:dyDescent="0.2">
      <c r="A44" s="41" t="s">
        <v>120</v>
      </c>
      <c r="B44" s="8">
        <f>ROUND((((B45+B46)*4)+(B47*6)+(B48*1))/12,2)</f>
        <v>40.67</v>
      </c>
    </row>
    <row r="45" spans="1:3" x14ac:dyDescent="0.2">
      <c r="A45" s="41" t="s">
        <v>152</v>
      </c>
      <c r="B45" s="8">
        <f>+B18</f>
        <v>75</v>
      </c>
    </row>
    <row r="46" spans="1:3" x14ac:dyDescent="0.2">
      <c r="A46" s="41" t="s">
        <v>153</v>
      </c>
      <c r="B46" s="8">
        <f>+B19</f>
        <v>31</v>
      </c>
    </row>
    <row r="47" spans="1:3" x14ac:dyDescent="0.2">
      <c r="A47" s="22" t="s">
        <v>154</v>
      </c>
      <c r="B47" s="8">
        <f>+B20</f>
        <v>7</v>
      </c>
    </row>
    <row r="48" spans="1:3" x14ac:dyDescent="0.2">
      <c r="A48" s="22" t="s">
        <v>155</v>
      </c>
      <c r="B48" s="8">
        <f>+B21</f>
        <v>22</v>
      </c>
    </row>
    <row r="49" spans="1:3" x14ac:dyDescent="0.2">
      <c r="A49" s="22" t="s">
        <v>248</v>
      </c>
      <c r="B49" s="35">
        <f>+B22</f>
        <v>630</v>
      </c>
    </row>
    <row r="50" spans="1:3" x14ac:dyDescent="0.2">
      <c r="A50" s="22" t="s">
        <v>246</v>
      </c>
      <c r="B50" s="35">
        <f>4.1*52-0.06*B38</f>
        <v>112.21008363636361</v>
      </c>
      <c r="C50" s="8"/>
    </row>
    <row r="51" spans="1:3" x14ac:dyDescent="0.2">
      <c r="A51" s="22" t="s">
        <v>212</v>
      </c>
      <c r="B51" s="35">
        <f>+B24</f>
        <v>11</v>
      </c>
    </row>
    <row r="52" spans="1:3" x14ac:dyDescent="0.2">
      <c r="A52" s="45" t="s">
        <v>213</v>
      </c>
      <c r="B52" s="46">
        <f>B49+B44+B50+B51</f>
        <v>793.88008363636357</v>
      </c>
    </row>
    <row r="54" spans="1:3" x14ac:dyDescent="0.2">
      <c r="A54" s="47" t="s">
        <v>9</v>
      </c>
      <c r="B54" s="48">
        <f>B52+B40</f>
        <v>4076.0523654545459</v>
      </c>
    </row>
    <row r="55" spans="1:3" x14ac:dyDescent="0.2">
      <c r="A55" s="45"/>
      <c r="B55" s="46"/>
    </row>
    <row r="56" spans="1:3" x14ac:dyDescent="0.2">
      <c r="A56" s="45"/>
      <c r="B56" s="46"/>
    </row>
    <row r="57" spans="1:3" x14ac:dyDescent="0.2">
      <c r="A57" s="45"/>
      <c r="B57" s="46"/>
    </row>
    <row r="58" spans="1:3" x14ac:dyDescent="0.2">
      <c r="A58" s="45"/>
      <c r="B58" s="46"/>
    </row>
    <row r="59" spans="1:3" x14ac:dyDescent="0.2">
      <c r="A59" s="45"/>
      <c r="B59" s="46"/>
    </row>
    <row r="60" spans="1:3" x14ac:dyDescent="0.2">
      <c r="A60" s="45"/>
      <c r="B60" s="46"/>
    </row>
    <row r="61" spans="1:3" x14ac:dyDescent="0.2">
      <c r="A61" s="45"/>
      <c r="B61" s="46"/>
    </row>
    <row r="62" spans="1:3" x14ac:dyDescent="0.2">
      <c r="A62" s="45"/>
      <c r="B62" s="46"/>
    </row>
    <row r="63" spans="1:3" x14ac:dyDescent="0.2">
      <c r="A63" s="45"/>
      <c r="B63" s="46"/>
    </row>
    <row r="64" spans="1:3" x14ac:dyDescent="0.2">
      <c r="A64" s="45"/>
      <c r="B64" s="46"/>
    </row>
    <row r="65" spans="1:4" x14ac:dyDescent="0.2">
      <c r="A65" s="45"/>
      <c r="B65" s="46"/>
    </row>
    <row r="66" spans="1:4" x14ac:dyDescent="0.2">
      <c r="A66" s="45"/>
      <c r="B66" s="46"/>
    </row>
    <row r="67" spans="1:4" x14ac:dyDescent="0.2">
      <c r="A67" s="45"/>
      <c r="B67" s="46"/>
    </row>
    <row r="68" spans="1:4" x14ac:dyDescent="0.2">
      <c r="A68" s="45"/>
      <c r="B68" s="46"/>
    </row>
    <row r="69" spans="1:4" x14ac:dyDescent="0.2">
      <c r="A69" s="45"/>
      <c r="B69" s="46"/>
    </row>
    <row r="70" spans="1:4" x14ac:dyDescent="0.2">
      <c r="A70" s="45"/>
      <c r="B70" s="46"/>
    </row>
    <row r="71" spans="1:4" x14ac:dyDescent="0.2">
      <c r="A71" s="45"/>
      <c r="B71" s="46"/>
    </row>
    <row r="72" spans="1:4" x14ac:dyDescent="0.2">
      <c r="A72" s="45"/>
      <c r="B72" s="46"/>
    </row>
    <row r="73" spans="1:4" x14ac:dyDescent="0.2">
      <c r="A73" s="41"/>
    </row>
    <row r="74" spans="1:4" x14ac:dyDescent="0.2">
      <c r="C74" s="6"/>
      <c r="D74" s="6"/>
    </row>
    <row r="75" spans="1:4" x14ac:dyDescent="0.2">
      <c r="A75" s="41"/>
      <c r="B75" s="8"/>
      <c r="C75" s="6"/>
      <c r="D75" s="6"/>
    </row>
    <row r="76" spans="1:4" x14ac:dyDescent="0.2">
      <c r="A76" s="41"/>
      <c r="B76" s="8"/>
      <c r="C76" s="6"/>
      <c r="D76" s="6"/>
    </row>
    <row r="77" spans="1:4" x14ac:dyDescent="0.2">
      <c r="A77" s="41"/>
      <c r="B77" s="8"/>
      <c r="C77" s="6"/>
      <c r="D77" s="6"/>
    </row>
    <row r="78" spans="1:4" x14ac:dyDescent="0.2">
      <c r="A78" s="22"/>
      <c r="B78" s="8"/>
      <c r="C78" s="6"/>
      <c r="D78" s="6"/>
    </row>
    <row r="79" spans="1:4" x14ac:dyDescent="0.2">
      <c r="A79" s="22"/>
      <c r="B79" s="8"/>
      <c r="C79" s="6"/>
      <c r="D79" s="6"/>
    </row>
    <row r="80" spans="1:4" x14ac:dyDescent="0.2">
      <c r="A80" s="22"/>
      <c r="B80" s="35"/>
    </row>
    <row r="81" spans="1:2" x14ac:dyDescent="0.2">
      <c r="A81" s="22"/>
      <c r="B81" s="35"/>
    </row>
    <row r="82" spans="1:2" x14ac:dyDescent="0.2">
      <c r="A82" s="22"/>
      <c r="B82" s="35"/>
    </row>
    <row r="83" spans="1:2" x14ac:dyDescent="0.2">
      <c r="A83" s="45"/>
      <c r="B83" s="46"/>
    </row>
    <row r="84" spans="1:2" x14ac:dyDescent="0.2">
      <c r="A84" s="49"/>
      <c r="B84" s="49"/>
    </row>
    <row r="85" spans="1:2" x14ac:dyDescent="0.2">
      <c r="A85" s="47"/>
      <c r="B85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4"/>
  <sheetViews>
    <sheetView workbookViewId="0">
      <selection activeCell="B10" sqref="B10"/>
    </sheetView>
  </sheetViews>
  <sheetFormatPr defaultColWidth="12" defaultRowHeight="12.75" x14ac:dyDescent="0.2"/>
  <cols>
    <col min="1" max="1" width="60.83203125" style="1" customWidth="1"/>
    <col min="2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x14ac:dyDescent="0.2">
      <c r="B2" s="13"/>
      <c r="C2" s="13"/>
      <c r="D2" s="13"/>
      <c r="E2" s="13"/>
    </row>
    <row r="3" spans="1:5" x14ac:dyDescent="0.2">
      <c r="A3" s="14" t="s">
        <v>0</v>
      </c>
      <c r="B3" s="14"/>
      <c r="C3" s="14"/>
      <c r="D3" s="14"/>
      <c r="E3" s="14"/>
    </row>
    <row r="4" spans="1:5" x14ac:dyDescent="0.2">
      <c r="A4" s="6"/>
      <c r="B4" s="6"/>
      <c r="C4" s="6"/>
      <c r="D4" s="6"/>
    </row>
    <row r="5" spans="1:5" x14ac:dyDescent="0.2">
      <c r="A5" s="31" t="s">
        <v>145</v>
      </c>
      <c r="B5" s="2"/>
      <c r="C5" s="2"/>
      <c r="D5" s="2"/>
    </row>
    <row r="6" spans="1:5" x14ac:dyDescent="0.2">
      <c r="A6" s="2" t="s">
        <v>240</v>
      </c>
      <c r="B6" s="6"/>
      <c r="C6" s="6"/>
      <c r="D6" s="6"/>
    </row>
    <row r="8" spans="1:5" x14ac:dyDescent="0.2">
      <c r="A8" s="41" t="s">
        <v>1</v>
      </c>
    </row>
    <row r="10" spans="1:5" x14ac:dyDescent="0.2">
      <c r="A10" s="41" t="s">
        <v>2</v>
      </c>
      <c r="B10" s="8">
        <f>COLETOR!B9</f>
        <v>1142.8900000000001</v>
      </c>
    </row>
    <row r="11" spans="1:5" x14ac:dyDescent="0.2">
      <c r="A11" s="41" t="s">
        <v>10</v>
      </c>
      <c r="B11" s="8">
        <f>COLETOR!B10/2</f>
        <v>228.57800000000003</v>
      </c>
    </row>
    <row r="12" spans="1:5" x14ac:dyDescent="0.2">
      <c r="A12" s="22" t="s">
        <v>4</v>
      </c>
      <c r="B12" s="8">
        <f>SUM(B10:B11)</f>
        <v>1371.4680000000001</v>
      </c>
    </row>
    <row r="13" spans="1:5" x14ac:dyDescent="0.2">
      <c r="A13" s="41" t="s">
        <v>5</v>
      </c>
      <c r="B13" s="42">
        <f>COLETOR!B12</f>
        <v>0.95</v>
      </c>
    </row>
    <row r="14" spans="1:5" x14ac:dyDescent="0.2">
      <c r="A14" s="43" t="s">
        <v>6</v>
      </c>
      <c r="B14" s="44">
        <f>+B12+(B12*B13)</f>
        <v>2674.3626000000004</v>
      </c>
    </row>
    <row r="16" spans="1:5" x14ac:dyDescent="0.2">
      <c r="A16" s="41" t="s">
        <v>90</v>
      </c>
    </row>
    <row r="17" spans="1:4" x14ac:dyDescent="0.2">
      <c r="A17" s="1" t="s">
        <v>7</v>
      </c>
      <c r="C17" s="6"/>
      <c r="D17" s="6"/>
    </row>
    <row r="18" spans="1:4" x14ac:dyDescent="0.2">
      <c r="A18" s="41" t="s">
        <v>120</v>
      </c>
      <c r="B18" s="8">
        <f>ROUND((((B19+B20)*4)+(B21*6)+(B22*1))/12,2)</f>
        <v>57.83</v>
      </c>
      <c r="C18" s="6"/>
      <c r="D18" s="6"/>
    </row>
    <row r="19" spans="1:4" x14ac:dyDescent="0.2">
      <c r="A19" s="41" t="s">
        <v>152</v>
      </c>
      <c r="B19" s="8">
        <f>+[1]COLETOR!B18</f>
        <v>60</v>
      </c>
      <c r="C19" s="6"/>
      <c r="D19" s="6"/>
    </row>
    <row r="20" spans="1:4" x14ac:dyDescent="0.2">
      <c r="A20" s="41" t="s">
        <v>153</v>
      </c>
      <c r="B20" s="8">
        <f>[1]PREÇOS!C28</f>
        <v>24</v>
      </c>
      <c r="C20" s="6"/>
      <c r="D20" s="6"/>
    </row>
    <row r="21" spans="1:4" x14ac:dyDescent="0.2">
      <c r="A21" s="22" t="s">
        <v>154</v>
      </c>
      <c r="B21" s="8">
        <f>[1]PREÇOS!C27</f>
        <v>56</v>
      </c>
      <c r="C21" s="6"/>
      <c r="D21" s="6"/>
    </row>
    <row r="22" spans="1:4" x14ac:dyDescent="0.2">
      <c r="A22" s="22" t="s">
        <v>155</v>
      </c>
      <c r="B22" s="8">
        <f>[1]PREÇOS!C25</f>
        <v>22</v>
      </c>
      <c r="C22" s="6"/>
      <c r="D22" s="6"/>
    </row>
    <row r="23" spans="1:4" x14ac:dyDescent="0.2">
      <c r="A23" s="22" t="s">
        <v>166</v>
      </c>
      <c r="B23" s="35">
        <f>+COLETOR!B22</f>
        <v>630</v>
      </c>
      <c r="C23" s="1" t="s">
        <v>236</v>
      </c>
    </row>
    <row r="24" spans="1:4" x14ac:dyDescent="0.2">
      <c r="A24" s="22" t="s">
        <v>235</v>
      </c>
      <c r="B24" s="35">
        <f>298.64*1.0678+C24</f>
        <v>384.799712</v>
      </c>
      <c r="C24" s="8">
        <f>2.85*52-0.06*B12</f>
        <v>65.911920000000009</v>
      </c>
    </row>
    <row r="25" spans="1:4" x14ac:dyDescent="0.2">
      <c r="A25" s="22" t="s">
        <v>212</v>
      </c>
      <c r="B25" s="35">
        <f>+[1]COLETOR!B51</f>
        <v>10</v>
      </c>
    </row>
    <row r="26" spans="1:4" x14ac:dyDescent="0.2">
      <c r="A26" s="45" t="s">
        <v>213</v>
      </c>
      <c r="B26" s="46">
        <f>B23+B18+B24+B25</f>
        <v>1082.6297119999999</v>
      </c>
    </row>
    <row r="28" spans="1:4" x14ac:dyDescent="0.2">
      <c r="A28" s="47" t="s">
        <v>9</v>
      </c>
      <c r="B28" s="48">
        <f>B26+B14</f>
        <v>3756.9923120000003</v>
      </c>
      <c r="C28" s="49"/>
    </row>
    <row r="30" spans="1:4" x14ac:dyDescent="0.2">
      <c r="A30" s="31" t="s">
        <v>145</v>
      </c>
      <c r="B30" s="2"/>
    </row>
    <row r="31" spans="1:4" x14ac:dyDescent="0.2">
      <c r="A31" s="2" t="s">
        <v>167</v>
      </c>
      <c r="B31" s="6"/>
    </row>
    <row r="33" spans="1:4" x14ac:dyDescent="0.2">
      <c r="A33" s="41" t="s">
        <v>1</v>
      </c>
    </row>
    <row r="35" spans="1:4" x14ac:dyDescent="0.2">
      <c r="A35" s="41" t="s">
        <v>2</v>
      </c>
      <c r="B35" s="8">
        <f>COLETOR!B35</f>
        <v>1142.8900000000001</v>
      </c>
      <c r="C35" s="35"/>
    </row>
    <row r="36" spans="1:4" x14ac:dyDescent="0.2">
      <c r="A36" s="41" t="s">
        <v>10</v>
      </c>
      <c r="B36" s="8">
        <f>+B11</f>
        <v>228.57800000000003</v>
      </c>
      <c r="C36" s="35"/>
      <c r="D36" s="35"/>
    </row>
    <row r="37" spans="1:4" x14ac:dyDescent="0.2">
      <c r="A37" s="41" t="s">
        <v>150</v>
      </c>
      <c r="B37" s="8">
        <v>45</v>
      </c>
      <c r="C37" s="35"/>
    </row>
    <row r="38" spans="1:4" x14ac:dyDescent="0.2">
      <c r="A38" s="22" t="s">
        <v>147</v>
      </c>
      <c r="B38" s="8">
        <f>SUM(B35:B37)</f>
        <v>1416.4680000000001</v>
      </c>
    </row>
    <row r="39" spans="1:4" x14ac:dyDescent="0.2">
      <c r="A39" s="41" t="s">
        <v>148</v>
      </c>
      <c r="B39" s="42">
        <f>COLETOR!B39</f>
        <v>0.95</v>
      </c>
    </row>
    <row r="40" spans="1:4" x14ac:dyDescent="0.2">
      <c r="A40" s="43" t="s">
        <v>149</v>
      </c>
      <c r="B40" s="44">
        <f>+B38+(B38*B39)</f>
        <v>2762.1126000000004</v>
      </c>
    </row>
    <row r="42" spans="1:4" x14ac:dyDescent="0.2">
      <c r="A42" s="41" t="s">
        <v>90</v>
      </c>
    </row>
    <row r="43" spans="1:4" x14ac:dyDescent="0.2">
      <c r="A43" s="1" t="s">
        <v>7</v>
      </c>
    </row>
    <row r="44" spans="1:4" x14ac:dyDescent="0.2">
      <c r="A44" s="41" t="s">
        <v>120</v>
      </c>
      <c r="B44" s="8">
        <f t="shared" ref="B44:B49" si="0">+B18</f>
        <v>57.83</v>
      </c>
    </row>
    <row r="45" spans="1:4" x14ac:dyDescent="0.2">
      <c r="A45" s="41" t="s">
        <v>152</v>
      </c>
      <c r="B45" s="8">
        <f t="shared" si="0"/>
        <v>60</v>
      </c>
    </row>
    <row r="46" spans="1:4" x14ac:dyDescent="0.2">
      <c r="A46" s="41" t="s">
        <v>153</v>
      </c>
      <c r="B46" s="8">
        <f t="shared" si="0"/>
        <v>24</v>
      </c>
    </row>
    <row r="47" spans="1:4" x14ac:dyDescent="0.2">
      <c r="A47" s="22" t="s">
        <v>154</v>
      </c>
      <c r="B47" s="8">
        <f t="shared" si="0"/>
        <v>56</v>
      </c>
    </row>
    <row r="48" spans="1:4" x14ac:dyDescent="0.2">
      <c r="A48" s="22" t="s">
        <v>155</v>
      </c>
      <c r="B48" s="8">
        <f t="shared" si="0"/>
        <v>22</v>
      </c>
    </row>
    <row r="49" spans="1:3" x14ac:dyDescent="0.2">
      <c r="A49" s="22" t="s">
        <v>166</v>
      </c>
      <c r="B49" s="35">
        <f t="shared" si="0"/>
        <v>630</v>
      </c>
      <c r="C49" s="1" t="s">
        <v>236</v>
      </c>
    </row>
    <row r="50" spans="1:3" x14ac:dyDescent="0.2">
      <c r="A50" s="22" t="s">
        <v>235</v>
      </c>
      <c r="B50" s="35">
        <f>298.64*1.0678+C50</f>
        <v>382.09971200000001</v>
      </c>
      <c r="C50" s="8">
        <f>2.85*52-0.06*B38</f>
        <v>63.211920000000021</v>
      </c>
    </row>
    <row r="51" spans="1:3" x14ac:dyDescent="0.2">
      <c r="A51" s="22" t="s">
        <v>212</v>
      </c>
      <c r="B51" s="35">
        <v>10</v>
      </c>
    </row>
    <row r="52" spans="1:3" x14ac:dyDescent="0.2">
      <c r="A52" s="45" t="s">
        <v>213</v>
      </c>
      <c r="B52" s="46">
        <f>B49+B44+B50+B51</f>
        <v>1079.9297120000001</v>
      </c>
    </row>
    <row r="53" spans="1:3" x14ac:dyDescent="0.2">
      <c r="A53" s="49"/>
      <c r="B53" s="49"/>
    </row>
    <row r="54" spans="1:3" x14ac:dyDescent="0.2">
      <c r="A54" s="47" t="s">
        <v>9</v>
      </c>
      <c r="B54" s="48">
        <f>B52+B40</f>
        <v>3842.0423120000005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60" verticalDpi="360" r:id="rId1"/>
  <headerFooter alignWithMargins="0"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E57"/>
  <sheetViews>
    <sheetView view="pageBreakPreview" zoomScaleNormal="100" zoomScaleSheetLayoutView="100" workbookViewId="0">
      <selection activeCell="F19" sqref="F19"/>
    </sheetView>
  </sheetViews>
  <sheetFormatPr defaultColWidth="12" defaultRowHeight="12.75" x14ac:dyDescent="0.2"/>
  <cols>
    <col min="1" max="1" width="62.1640625" style="1" customWidth="1"/>
    <col min="2" max="2" width="13.6640625" style="1" bestFit="1" customWidth="1"/>
    <col min="3" max="3" width="17.5" style="1" customWidth="1"/>
    <col min="4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x14ac:dyDescent="0.2">
      <c r="B2" s="13"/>
      <c r="C2" s="13"/>
      <c r="D2" s="13"/>
      <c r="E2" s="13"/>
    </row>
    <row r="3" spans="1:5" x14ac:dyDescent="0.2">
      <c r="A3" s="14" t="s">
        <v>0</v>
      </c>
      <c r="B3" s="14"/>
      <c r="C3" s="14"/>
      <c r="D3" s="14"/>
      <c r="E3" s="14"/>
    </row>
    <row r="4" spans="1:5" x14ac:dyDescent="0.2">
      <c r="A4" s="6"/>
      <c r="B4" s="6"/>
    </row>
    <row r="5" spans="1:5" x14ac:dyDescent="0.2">
      <c r="A5" s="102" t="s">
        <v>247</v>
      </c>
      <c r="B5" s="2"/>
    </row>
    <row r="6" spans="1:5" x14ac:dyDescent="0.2">
      <c r="A6" s="6"/>
      <c r="B6" s="6"/>
    </row>
    <row r="8" spans="1:5" x14ac:dyDescent="0.2">
      <c r="A8" s="41" t="s">
        <v>1</v>
      </c>
    </row>
    <row r="10" spans="1:5" x14ac:dyDescent="0.2">
      <c r="A10" s="41" t="s">
        <v>11</v>
      </c>
      <c r="B10" s="8">
        <v>2200</v>
      </c>
    </row>
    <row r="11" spans="1:5" x14ac:dyDescent="0.2">
      <c r="A11" s="41" t="s">
        <v>10</v>
      </c>
      <c r="B11" s="70" t="s">
        <v>73</v>
      </c>
    </row>
    <row r="12" spans="1:5" x14ac:dyDescent="0.2">
      <c r="A12" s="22" t="s">
        <v>4</v>
      </c>
      <c r="B12" s="8">
        <f>B10</f>
        <v>2200</v>
      </c>
    </row>
    <row r="13" spans="1:5" x14ac:dyDescent="0.2">
      <c r="A13" s="41" t="s">
        <v>5</v>
      </c>
      <c r="B13" s="42">
        <f>COLETOR!B12</f>
        <v>0.95</v>
      </c>
    </row>
    <row r="14" spans="1:5" x14ac:dyDescent="0.2">
      <c r="A14" s="43" t="s">
        <v>6</v>
      </c>
      <c r="B14" s="44">
        <f>+B12+(B12*B13)</f>
        <v>4290</v>
      </c>
    </row>
    <row r="16" spans="1:5" x14ac:dyDescent="0.2">
      <c r="A16" s="41" t="s">
        <v>90</v>
      </c>
    </row>
    <row r="17" spans="1:4" x14ac:dyDescent="0.2">
      <c r="A17" s="1" t="s">
        <v>7</v>
      </c>
      <c r="C17" s="6"/>
      <c r="D17" s="6"/>
    </row>
    <row r="18" spans="1:4" x14ac:dyDescent="0.2">
      <c r="A18" s="41" t="s">
        <v>120</v>
      </c>
      <c r="B18" s="44">
        <f>ROUND((((B19+B20)*4)+(B21*6)+(B22*1))/12,2)</f>
        <v>35.33</v>
      </c>
      <c r="C18" s="6"/>
      <c r="D18" s="6"/>
    </row>
    <row r="19" spans="1:4" x14ac:dyDescent="0.2">
      <c r="A19" s="41" t="s">
        <v>152</v>
      </c>
      <c r="B19" s="8">
        <f>PREÇOS!C26</f>
        <v>75</v>
      </c>
      <c r="C19" s="6"/>
      <c r="D19" s="6"/>
    </row>
    <row r="20" spans="1:4" x14ac:dyDescent="0.2">
      <c r="A20" s="41" t="s">
        <v>153</v>
      </c>
      <c r="B20" s="8">
        <f>PREÇOS!C28</f>
        <v>31</v>
      </c>
      <c r="C20" s="6"/>
      <c r="D20" s="6"/>
    </row>
    <row r="21" spans="1:4" x14ac:dyDescent="0.2">
      <c r="A21" s="22" t="s">
        <v>154</v>
      </c>
      <c r="B21" s="8">
        <v>0</v>
      </c>
      <c r="C21" s="6"/>
      <c r="D21" s="6"/>
    </row>
    <row r="22" spans="1:4" x14ac:dyDescent="0.2">
      <c r="A22" s="22" t="s">
        <v>155</v>
      </c>
      <c r="B22" s="8">
        <v>0</v>
      </c>
      <c r="C22" s="6"/>
      <c r="D22" s="6"/>
    </row>
    <row r="23" spans="1:4" x14ac:dyDescent="0.2">
      <c r="A23" s="22" t="s">
        <v>248</v>
      </c>
      <c r="B23" s="35">
        <f>+COLETOR!B22</f>
        <v>630</v>
      </c>
    </row>
    <row r="24" spans="1:4" x14ac:dyDescent="0.2">
      <c r="A24" s="22" t="s">
        <v>246</v>
      </c>
      <c r="B24" s="35">
        <f>4.1*52-0.06*B12</f>
        <v>81.199999999999989</v>
      </c>
      <c r="C24" s="8"/>
    </row>
    <row r="25" spans="1:4" x14ac:dyDescent="0.2">
      <c r="A25" s="22" t="s">
        <v>212</v>
      </c>
      <c r="B25" s="35">
        <f>+COLETOR!B51</f>
        <v>11</v>
      </c>
    </row>
    <row r="26" spans="1:4" x14ac:dyDescent="0.2">
      <c r="A26" s="45" t="s">
        <v>213</v>
      </c>
      <c r="B26" s="46">
        <f>B23+B18+B24+B25</f>
        <v>757.53</v>
      </c>
    </row>
    <row r="27" spans="1:4" x14ac:dyDescent="0.2">
      <c r="A27" s="45"/>
      <c r="B27" s="46"/>
    </row>
    <row r="28" spans="1:4" x14ac:dyDescent="0.2">
      <c r="A28" s="49"/>
      <c r="B28" s="49"/>
    </row>
    <row r="29" spans="1:4" x14ac:dyDescent="0.2">
      <c r="A29" s="47" t="s">
        <v>9</v>
      </c>
      <c r="B29" s="48">
        <f>B26+B14</f>
        <v>5047.53</v>
      </c>
    </row>
    <row r="30" spans="1:4" x14ac:dyDescent="0.2">
      <c r="A30" s="71"/>
      <c r="B30" s="67"/>
    </row>
    <row r="31" spans="1:4" x14ac:dyDescent="0.2">
      <c r="A31" s="14" t="s">
        <v>0</v>
      </c>
      <c r="B31" s="14"/>
    </row>
    <row r="32" spans="1:4" x14ac:dyDescent="0.2">
      <c r="A32" s="6"/>
      <c r="B32" s="6"/>
    </row>
    <row r="33" spans="1:2" x14ac:dyDescent="0.2">
      <c r="A33" s="31" t="s">
        <v>214</v>
      </c>
      <c r="B33" s="2"/>
    </row>
    <row r="35" spans="1:2" x14ac:dyDescent="0.2">
      <c r="A35" s="41" t="s">
        <v>1</v>
      </c>
    </row>
    <row r="37" spans="1:2" x14ac:dyDescent="0.2">
      <c r="A37" s="41" t="s">
        <v>11</v>
      </c>
      <c r="B37" s="8">
        <f>+B10</f>
        <v>2200</v>
      </c>
    </row>
    <row r="38" spans="1:2" x14ac:dyDescent="0.2">
      <c r="A38" s="41" t="s">
        <v>10</v>
      </c>
      <c r="B38" s="70">
        <v>0</v>
      </c>
    </row>
    <row r="39" spans="1:2" x14ac:dyDescent="0.2">
      <c r="A39" s="41" t="s">
        <v>150</v>
      </c>
      <c r="B39" s="8">
        <f>+B37/220*0.2*80</f>
        <v>160</v>
      </c>
    </row>
    <row r="40" spans="1:2" x14ac:dyDescent="0.2">
      <c r="A40" s="22" t="s">
        <v>4</v>
      </c>
      <c r="B40" s="8">
        <f>B37+B38+B39</f>
        <v>2360</v>
      </c>
    </row>
    <row r="41" spans="1:2" x14ac:dyDescent="0.2">
      <c r="A41" s="41" t="s">
        <v>5</v>
      </c>
      <c r="B41" s="42">
        <f>+B13</f>
        <v>0.95</v>
      </c>
    </row>
    <row r="42" spans="1:2" x14ac:dyDescent="0.2">
      <c r="A42" s="43" t="s">
        <v>6</v>
      </c>
      <c r="B42" s="44">
        <f>+B40+(B40*B41)</f>
        <v>4602</v>
      </c>
    </row>
    <row r="44" spans="1:2" x14ac:dyDescent="0.2">
      <c r="A44" s="41" t="s">
        <v>90</v>
      </c>
    </row>
    <row r="45" spans="1:2" x14ac:dyDescent="0.2">
      <c r="A45" s="1" t="s">
        <v>7</v>
      </c>
    </row>
    <row r="46" spans="1:2" x14ac:dyDescent="0.2">
      <c r="A46" s="41" t="s">
        <v>120</v>
      </c>
      <c r="B46" s="8">
        <f t="shared" ref="B46:B51" si="0">+B18</f>
        <v>35.33</v>
      </c>
    </row>
    <row r="47" spans="1:2" x14ac:dyDescent="0.2">
      <c r="A47" s="41" t="s">
        <v>152</v>
      </c>
      <c r="B47" s="8">
        <f t="shared" si="0"/>
        <v>75</v>
      </c>
    </row>
    <row r="48" spans="1:2" x14ac:dyDescent="0.2">
      <c r="A48" s="41" t="s">
        <v>153</v>
      </c>
      <c r="B48" s="8">
        <f t="shared" si="0"/>
        <v>31</v>
      </c>
    </row>
    <row r="49" spans="1:3" x14ac:dyDescent="0.2">
      <c r="A49" s="22" t="s">
        <v>154</v>
      </c>
      <c r="B49" s="8">
        <f t="shared" si="0"/>
        <v>0</v>
      </c>
    </row>
    <row r="50" spans="1:3" x14ac:dyDescent="0.2">
      <c r="A50" s="22" t="s">
        <v>155</v>
      </c>
      <c r="B50" s="8">
        <f t="shared" si="0"/>
        <v>0</v>
      </c>
    </row>
    <row r="51" spans="1:3" x14ac:dyDescent="0.2">
      <c r="A51" s="22" t="s">
        <v>248</v>
      </c>
      <c r="B51" s="35">
        <f t="shared" si="0"/>
        <v>630</v>
      </c>
      <c r="C51" s="1" t="s">
        <v>236</v>
      </c>
    </row>
    <row r="52" spans="1:3" x14ac:dyDescent="0.2">
      <c r="A52" s="22" t="s">
        <v>246</v>
      </c>
      <c r="B52" s="35">
        <f>324.35+C52</f>
        <v>395.95000000000005</v>
      </c>
      <c r="C52" s="8">
        <f>4.1*52-0.06*B40</f>
        <v>71.599999999999994</v>
      </c>
    </row>
    <row r="53" spans="1:3" x14ac:dyDescent="0.2">
      <c r="A53" s="22" t="s">
        <v>212</v>
      </c>
      <c r="B53" s="35">
        <f>+B25</f>
        <v>11</v>
      </c>
    </row>
    <row r="54" spans="1:3" x14ac:dyDescent="0.2">
      <c r="A54" s="45" t="s">
        <v>213</v>
      </c>
      <c r="B54" s="46">
        <f>B51+B46+B52+B53</f>
        <v>1072.2800000000002</v>
      </c>
    </row>
    <row r="55" spans="1:3" x14ac:dyDescent="0.2">
      <c r="A55" s="45"/>
      <c r="B55" s="46"/>
    </row>
    <row r="56" spans="1:3" x14ac:dyDescent="0.2">
      <c r="A56" s="49"/>
      <c r="B56" s="49"/>
    </row>
    <row r="57" spans="1:3" x14ac:dyDescent="0.2">
      <c r="A57" s="47" t="s">
        <v>9</v>
      </c>
      <c r="B57" s="48">
        <f>B54+B42</f>
        <v>5674.2800000000007</v>
      </c>
      <c r="C57" s="7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E57"/>
  <sheetViews>
    <sheetView view="pageBreakPreview" zoomScale="85" zoomScaleNormal="100" zoomScaleSheetLayoutView="85" workbookViewId="0">
      <selection activeCell="A11" sqref="A11"/>
    </sheetView>
  </sheetViews>
  <sheetFormatPr defaultColWidth="12" defaultRowHeight="12.75" x14ac:dyDescent="0.2"/>
  <cols>
    <col min="1" max="1" width="54.83203125" style="1" customWidth="1"/>
    <col min="2" max="2" width="13" style="1" customWidth="1"/>
    <col min="3" max="3" width="27.1640625" style="1" customWidth="1"/>
    <col min="4" max="16384" width="12" style="1"/>
  </cols>
  <sheetData>
    <row r="1" spans="1:5" ht="18" x14ac:dyDescent="0.25">
      <c r="A1" s="10" t="s">
        <v>211</v>
      </c>
      <c r="B1" s="11"/>
      <c r="C1" s="11"/>
      <c r="D1" s="11"/>
      <c r="E1" s="11"/>
    </row>
    <row r="2" spans="1:5" ht="18" x14ac:dyDescent="0.25">
      <c r="A2" s="11"/>
      <c r="B2" s="12"/>
      <c r="C2" s="12"/>
      <c r="D2" s="12"/>
      <c r="E2" s="12"/>
    </row>
    <row r="3" spans="1:5" x14ac:dyDescent="0.2">
      <c r="A3" s="13"/>
      <c r="B3" s="13"/>
      <c r="C3" s="13"/>
      <c r="D3" s="13"/>
      <c r="E3" s="13"/>
    </row>
    <row r="4" spans="1:5" x14ac:dyDescent="0.2">
      <c r="A4" s="12"/>
      <c r="B4" s="13"/>
      <c r="C4" s="13"/>
      <c r="D4" s="13"/>
      <c r="E4" s="13"/>
    </row>
    <row r="5" spans="1:5" ht="18" x14ac:dyDescent="0.25">
      <c r="A5" s="10" t="s">
        <v>211</v>
      </c>
      <c r="B5" s="13"/>
      <c r="C5" s="13"/>
      <c r="D5" s="13"/>
      <c r="E5" s="13"/>
    </row>
    <row r="6" spans="1:5" x14ac:dyDescent="0.2">
      <c r="A6" s="14" t="s">
        <v>0</v>
      </c>
      <c r="B6" s="14"/>
      <c r="C6" s="14"/>
      <c r="D6" s="14"/>
      <c r="E6" s="14"/>
    </row>
    <row r="7" spans="1:5" x14ac:dyDescent="0.2">
      <c r="A7" s="6"/>
      <c r="B7" s="6"/>
    </row>
    <row r="8" spans="1:5" x14ac:dyDescent="0.2">
      <c r="A8" s="102" t="s">
        <v>249</v>
      </c>
      <c r="B8" s="2"/>
    </row>
    <row r="9" spans="1:5" x14ac:dyDescent="0.2">
      <c r="A9" s="6"/>
      <c r="B9" s="6"/>
    </row>
    <row r="11" spans="1:5" x14ac:dyDescent="0.2">
      <c r="A11" s="41" t="s">
        <v>1</v>
      </c>
    </row>
    <row r="13" spans="1:5" x14ac:dyDescent="0.2">
      <c r="A13" s="41" t="s">
        <v>172</v>
      </c>
      <c r="B13" s="8">
        <v>1836.45</v>
      </c>
    </row>
    <row r="14" spans="1:5" x14ac:dyDescent="0.2">
      <c r="A14" s="41" t="s">
        <v>3</v>
      </c>
      <c r="B14" s="8">
        <f>998*0.4</f>
        <v>399.20000000000005</v>
      </c>
    </row>
    <row r="15" spans="1:5" x14ac:dyDescent="0.2">
      <c r="A15" s="22" t="s">
        <v>4</v>
      </c>
      <c r="B15" s="8">
        <f>+B14+B13</f>
        <v>2235.65</v>
      </c>
    </row>
    <row r="16" spans="1:5" x14ac:dyDescent="0.2">
      <c r="A16" s="41" t="s">
        <v>5</v>
      </c>
      <c r="B16" s="42">
        <f>COLETOR!B12</f>
        <v>0.95</v>
      </c>
    </row>
    <row r="17" spans="1:4" x14ac:dyDescent="0.2">
      <c r="A17" s="45" t="s">
        <v>6</v>
      </c>
      <c r="B17" s="44">
        <f>+B15+(B15*B16)</f>
        <v>4359.5174999999999</v>
      </c>
    </row>
    <row r="19" spans="1:4" x14ac:dyDescent="0.2">
      <c r="A19" s="41" t="s">
        <v>90</v>
      </c>
    </row>
    <row r="20" spans="1:4" x14ac:dyDescent="0.2">
      <c r="A20" s="1" t="s">
        <v>7</v>
      </c>
      <c r="C20" s="6"/>
      <c r="D20" s="6"/>
    </row>
    <row r="21" spans="1:4" x14ac:dyDescent="0.2">
      <c r="A21" s="41" t="s">
        <v>137</v>
      </c>
      <c r="B21" s="8">
        <f>ROUND((((B22+B23)*4)+(B24*6)+(B25*1))/12,2)</f>
        <v>35.33</v>
      </c>
      <c r="C21" s="6"/>
      <c r="D21" s="6"/>
    </row>
    <row r="22" spans="1:4" x14ac:dyDescent="0.2">
      <c r="A22" s="41" t="s">
        <v>152</v>
      </c>
      <c r="B22" s="8">
        <f>+COLETOR!B18</f>
        <v>75</v>
      </c>
      <c r="C22" s="6"/>
      <c r="D22" s="6"/>
    </row>
    <row r="23" spans="1:4" x14ac:dyDescent="0.2">
      <c r="A23" s="41" t="s">
        <v>153</v>
      </c>
      <c r="B23" s="8">
        <f>PREÇOS!C28</f>
        <v>31</v>
      </c>
      <c r="C23" s="6"/>
      <c r="D23" s="6"/>
    </row>
    <row r="24" spans="1:4" x14ac:dyDescent="0.2">
      <c r="A24" s="22" t="s">
        <v>154</v>
      </c>
      <c r="B24" s="8">
        <v>0</v>
      </c>
      <c r="C24" s="6"/>
      <c r="D24" s="6"/>
    </row>
    <row r="25" spans="1:4" x14ac:dyDescent="0.2">
      <c r="A25" s="22" t="s">
        <v>155</v>
      </c>
      <c r="B25" s="8">
        <v>0</v>
      </c>
      <c r="C25" s="6"/>
      <c r="D25" s="6"/>
    </row>
    <row r="26" spans="1:4" x14ac:dyDescent="0.2">
      <c r="A26" s="22" t="s">
        <v>248</v>
      </c>
      <c r="B26" s="35">
        <f>+COLETOR!B22</f>
        <v>630</v>
      </c>
    </row>
    <row r="27" spans="1:4" x14ac:dyDescent="0.2">
      <c r="A27" s="22" t="s">
        <v>246</v>
      </c>
      <c r="B27" s="35">
        <f>4.1*52-0.06*B15</f>
        <v>79.060999999999979</v>
      </c>
      <c r="C27" s="8"/>
    </row>
    <row r="28" spans="1:4" x14ac:dyDescent="0.2">
      <c r="A28" s="22" t="s">
        <v>212</v>
      </c>
      <c r="B28" s="35">
        <f>+FISCAL!B53</f>
        <v>11</v>
      </c>
    </row>
    <row r="29" spans="1:4" x14ac:dyDescent="0.2">
      <c r="A29" s="45" t="s">
        <v>213</v>
      </c>
      <c r="B29" s="46">
        <f>B26+B21+B27+B28</f>
        <v>755.39100000000008</v>
      </c>
    </row>
    <row r="30" spans="1:4" x14ac:dyDescent="0.2">
      <c r="A30" s="45"/>
      <c r="B30" s="46"/>
    </row>
    <row r="31" spans="1:4" x14ac:dyDescent="0.2">
      <c r="A31" s="47" t="s">
        <v>9</v>
      </c>
      <c r="B31" s="48">
        <f>B29+B17</f>
        <v>5114.9084999999995</v>
      </c>
    </row>
    <row r="34" spans="1:3" x14ac:dyDescent="0.2">
      <c r="A34" s="31" t="s">
        <v>151</v>
      </c>
      <c r="B34" s="2"/>
    </row>
    <row r="36" spans="1:3" x14ac:dyDescent="0.2">
      <c r="A36" s="41" t="s">
        <v>1</v>
      </c>
    </row>
    <row r="38" spans="1:3" x14ac:dyDescent="0.2">
      <c r="A38" s="41" t="s">
        <v>168</v>
      </c>
      <c r="B38" s="8">
        <f>+B13</f>
        <v>1836.45</v>
      </c>
    </row>
    <row r="39" spans="1:3" x14ac:dyDescent="0.2">
      <c r="A39" s="41" t="s">
        <v>3</v>
      </c>
      <c r="B39" s="8">
        <f>998*0.4</f>
        <v>399.20000000000005</v>
      </c>
      <c r="C39" s="35"/>
    </row>
    <row r="40" spans="1:3" x14ac:dyDescent="0.2">
      <c r="A40" s="41" t="s">
        <v>150</v>
      </c>
      <c r="B40" s="8">
        <f>+B38/220*0.2*80</f>
        <v>133.56</v>
      </c>
    </row>
    <row r="41" spans="1:3" x14ac:dyDescent="0.2">
      <c r="A41" s="22" t="s">
        <v>147</v>
      </c>
      <c r="B41" s="8">
        <f>SUM(B38:B40)</f>
        <v>2369.21</v>
      </c>
    </row>
    <row r="42" spans="1:3" x14ac:dyDescent="0.2">
      <c r="A42" s="41" t="s">
        <v>148</v>
      </c>
      <c r="B42" s="42">
        <f>+COLETOR!B39</f>
        <v>0.95</v>
      </c>
    </row>
    <row r="43" spans="1:3" x14ac:dyDescent="0.2">
      <c r="A43" s="41" t="s">
        <v>149</v>
      </c>
      <c r="B43" s="8">
        <f>+B41+(B41*B42)</f>
        <v>4619.9594999999999</v>
      </c>
    </row>
    <row r="45" spans="1:3" x14ac:dyDescent="0.2">
      <c r="A45" s="41" t="s">
        <v>90</v>
      </c>
    </row>
    <row r="46" spans="1:3" x14ac:dyDescent="0.2">
      <c r="A46" s="1" t="s">
        <v>7</v>
      </c>
    </row>
    <row r="47" spans="1:3" x14ac:dyDescent="0.2">
      <c r="A47" s="41" t="s">
        <v>137</v>
      </c>
      <c r="B47" s="8">
        <f>ROUND((((B48+B49)*4)+(B50*6)+(B51*1))/12,2)</f>
        <v>35.33</v>
      </c>
    </row>
    <row r="48" spans="1:3" x14ac:dyDescent="0.2">
      <c r="A48" s="41" t="s">
        <v>152</v>
      </c>
      <c r="B48" s="8">
        <f>+B22</f>
        <v>75</v>
      </c>
    </row>
    <row r="49" spans="1:3" x14ac:dyDescent="0.2">
      <c r="A49" s="41" t="s">
        <v>153</v>
      </c>
      <c r="B49" s="8">
        <f>+B23</f>
        <v>31</v>
      </c>
    </row>
    <row r="50" spans="1:3" x14ac:dyDescent="0.2">
      <c r="A50" s="22" t="s">
        <v>154</v>
      </c>
      <c r="B50" s="8">
        <f>PREÇOS!C51</f>
        <v>0</v>
      </c>
    </row>
    <row r="51" spans="1:3" x14ac:dyDescent="0.2">
      <c r="A51" s="22" t="s">
        <v>155</v>
      </c>
      <c r="B51" s="8">
        <v>0</v>
      </c>
    </row>
    <row r="52" spans="1:3" x14ac:dyDescent="0.2">
      <c r="A52" s="22" t="s">
        <v>248</v>
      </c>
      <c r="B52" s="35">
        <f>+B26</f>
        <v>630</v>
      </c>
    </row>
    <row r="53" spans="1:3" x14ac:dyDescent="0.2">
      <c r="A53" s="22" t="s">
        <v>246</v>
      </c>
      <c r="B53" s="35">
        <f>4.1*52-0.06*B41</f>
        <v>71.047399999999982</v>
      </c>
      <c r="C53" s="8"/>
    </row>
    <row r="54" spans="1:3" x14ac:dyDescent="0.2">
      <c r="A54" s="22" t="s">
        <v>212</v>
      </c>
      <c r="B54" s="35">
        <f>+B28</f>
        <v>11</v>
      </c>
    </row>
    <row r="55" spans="1:3" x14ac:dyDescent="0.2">
      <c r="A55" s="45" t="s">
        <v>213</v>
      </c>
      <c r="B55" s="46">
        <f>B52+B47+B53+B54</f>
        <v>747.37740000000008</v>
      </c>
    </row>
    <row r="56" spans="1:3" x14ac:dyDescent="0.2">
      <c r="A56" s="45"/>
      <c r="B56" s="46"/>
    </row>
    <row r="57" spans="1:3" x14ac:dyDescent="0.2">
      <c r="A57" s="47" t="s">
        <v>9</v>
      </c>
      <c r="B57" s="48">
        <f>B55+B43</f>
        <v>5367.3369000000002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XFD49"/>
  <sheetViews>
    <sheetView view="pageBreakPreview" topLeftCell="A19" zoomScale="85" zoomScaleNormal="100" zoomScaleSheetLayoutView="85" workbookViewId="0">
      <selection activeCell="B39" sqref="B39"/>
    </sheetView>
  </sheetViews>
  <sheetFormatPr defaultColWidth="13.33203125" defaultRowHeight="12.75" x14ac:dyDescent="0.2"/>
  <cols>
    <col min="1" max="1" width="59.83203125" style="1" customWidth="1"/>
    <col min="2" max="2" width="13.33203125" style="1" customWidth="1"/>
    <col min="3" max="3" width="10.33203125" style="1" customWidth="1"/>
    <col min="4" max="16384" width="13.33203125" style="1"/>
  </cols>
  <sheetData>
    <row r="1" spans="1:2" ht="18" x14ac:dyDescent="0.25">
      <c r="A1" s="10" t="s">
        <v>211</v>
      </c>
      <c r="B1" s="11"/>
    </row>
    <row r="2" spans="1:2" ht="18" x14ac:dyDescent="0.25">
      <c r="A2" s="11"/>
      <c r="B2" s="68"/>
    </row>
    <row r="3" spans="1:2" x14ac:dyDescent="0.2">
      <c r="A3" s="13"/>
      <c r="B3" s="12"/>
    </row>
    <row r="4" spans="1:2" x14ac:dyDescent="0.2">
      <c r="A4" s="12"/>
      <c r="B4" s="13"/>
    </row>
    <row r="5" spans="1:2" ht="18" x14ac:dyDescent="0.25">
      <c r="A5" s="10" t="s">
        <v>211</v>
      </c>
      <c r="B5" s="13"/>
    </row>
    <row r="6" spans="1:2" x14ac:dyDescent="0.2">
      <c r="A6" s="14" t="s">
        <v>0</v>
      </c>
      <c r="B6" s="14"/>
    </row>
    <row r="7" spans="1:2" x14ac:dyDescent="0.2">
      <c r="A7" s="6"/>
      <c r="B7" s="6"/>
    </row>
    <row r="8" spans="1:2" x14ac:dyDescent="0.2">
      <c r="A8" s="31" t="s">
        <v>97</v>
      </c>
      <c r="B8" s="2"/>
    </row>
    <row r="9" spans="1:2" x14ac:dyDescent="0.2">
      <c r="A9" s="6"/>
      <c r="B9" s="6"/>
    </row>
    <row r="11" spans="1:2" x14ac:dyDescent="0.2">
      <c r="A11" s="41" t="s">
        <v>1</v>
      </c>
    </row>
    <row r="12" spans="1:2" x14ac:dyDescent="0.2">
      <c r="A12" s="41"/>
    </row>
    <row r="13" spans="1:2" x14ac:dyDescent="0.2">
      <c r="A13" s="41"/>
    </row>
    <row r="14" spans="1:2" x14ac:dyDescent="0.2">
      <c r="A14" s="41" t="s">
        <v>173</v>
      </c>
      <c r="B14" s="8">
        <f>8*998</f>
        <v>7984</v>
      </c>
    </row>
    <row r="15" spans="1:2" x14ac:dyDescent="0.2">
      <c r="A15" s="41" t="s">
        <v>257</v>
      </c>
      <c r="B15" s="8">
        <f>5*998</f>
        <v>4990</v>
      </c>
    </row>
    <row r="16" spans="1:2" x14ac:dyDescent="0.2">
      <c r="A16" s="41" t="s">
        <v>94</v>
      </c>
      <c r="B16" s="8">
        <v>2100</v>
      </c>
    </row>
    <row r="17" spans="1:5" x14ac:dyDescent="0.2">
      <c r="A17" s="22" t="s">
        <v>12</v>
      </c>
      <c r="B17" s="8">
        <v>4</v>
      </c>
    </row>
    <row r="18" spans="1:5" x14ac:dyDescent="0.2">
      <c r="A18" s="41" t="s">
        <v>215</v>
      </c>
      <c r="B18" s="8">
        <v>1198</v>
      </c>
    </row>
    <row r="19" spans="1:5" x14ac:dyDescent="0.2">
      <c r="A19" s="41" t="s">
        <v>13</v>
      </c>
      <c r="B19" s="8">
        <v>4</v>
      </c>
    </row>
    <row r="20" spans="1:5" x14ac:dyDescent="0.2">
      <c r="A20" s="41" t="s">
        <v>95</v>
      </c>
      <c r="B20" s="8">
        <v>998</v>
      </c>
    </row>
    <row r="21" spans="1:5" x14ac:dyDescent="0.2">
      <c r="A21" s="41" t="s">
        <v>96</v>
      </c>
      <c r="B21" s="8">
        <v>2</v>
      </c>
    </row>
    <row r="22" spans="1:5" x14ac:dyDescent="0.2">
      <c r="A22" s="41" t="s">
        <v>138</v>
      </c>
      <c r="B22" s="8">
        <f>(+B16*B17)+(B18*B19)+(+B20*B21)+B14</f>
        <v>23172</v>
      </c>
      <c r="C22" s="72"/>
    </row>
    <row r="23" spans="1:5" x14ac:dyDescent="0.2">
      <c r="A23" s="41" t="s">
        <v>139</v>
      </c>
      <c r="B23" s="42">
        <f>COLETOR!B12</f>
        <v>0.95</v>
      </c>
    </row>
    <row r="24" spans="1:5" x14ac:dyDescent="0.2">
      <c r="A24" s="43" t="s">
        <v>140</v>
      </c>
      <c r="B24" s="44">
        <f>+B22+(+B22*B23)</f>
        <v>45185.399999999994</v>
      </c>
    </row>
    <row r="27" spans="1:5" x14ac:dyDescent="0.2">
      <c r="A27" s="43" t="s">
        <v>182</v>
      </c>
    </row>
    <row r="28" spans="1:5" x14ac:dyDescent="0.2">
      <c r="A28" s="41"/>
    </row>
    <row r="29" spans="1:5" x14ac:dyDescent="0.2">
      <c r="A29" s="41"/>
    </row>
    <row r="30" spans="1:5" x14ac:dyDescent="0.2">
      <c r="A30" s="41" t="s">
        <v>183</v>
      </c>
      <c r="B30" s="8">
        <v>14000</v>
      </c>
      <c r="E30" s="69"/>
    </row>
    <row r="31" spans="1:5" x14ac:dyDescent="0.2">
      <c r="A31" s="41" t="s">
        <v>250</v>
      </c>
      <c r="B31" s="8">
        <v>4150</v>
      </c>
      <c r="E31" s="69"/>
    </row>
    <row r="32" spans="1:5" x14ac:dyDescent="0.2">
      <c r="A32" s="22" t="s">
        <v>251</v>
      </c>
      <c r="B32" s="8">
        <v>4500</v>
      </c>
      <c r="E32" s="69"/>
    </row>
    <row r="33" spans="1:5 16384:16384" x14ac:dyDescent="0.2">
      <c r="A33" s="22" t="s">
        <v>252</v>
      </c>
      <c r="B33" s="8">
        <v>4750</v>
      </c>
      <c r="E33" s="69"/>
    </row>
    <row r="34" spans="1:5 16384:16384" x14ac:dyDescent="0.2">
      <c r="A34" s="43" t="s">
        <v>184</v>
      </c>
      <c r="B34" s="44">
        <f>SUM(B30:B33)</f>
        <v>27400</v>
      </c>
      <c r="XFD34" s="35">
        <f>SUM(B34:XFC34)</f>
        <v>27400</v>
      </c>
    </row>
    <row r="35" spans="1:5 16384:16384" x14ac:dyDescent="0.2">
      <c r="A35" s="41"/>
      <c r="B35" s="8"/>
    </row>
    <row r="36" spans="1:5 16384:16384" x14ac:dyDescent="0.2">
      <c r="A36" s="41"/>
      <c r="B36" s="8"/>
    </row>
    <row r="37" spans="1:5 16384:16384" x14ac:dyDescent="0.2">
      <c r="A37" s="43"/>
      <c r="B37" s="8"/>
    </row>
    <row r="38" spans="1:5 16384:16384" x14ac:dyDescent="0.2">
      <c r="A38" s="41"/>
      <c r="B38" s="8"/>
    </row>
    <row r="39" spans="1:5 16384:16384" x14ac:dyDescent="0.2">
      <c r="A39" s="47" t="s">
        <v>453</v>
      </c>
      <c r="B39" s="484">
        <f>(B24+B34)*1.2925</f>
        <v>93816.629499999995</v>
      </c>
      <c r="C39" s="72"/>
    </row>
    <row r="40" spans="1:5 16384:16384" x14ac:dyDescent="0.2">
      <c r="A40" s="41"/>
      <c r="B40" s="8"/>
    </row>
    <row r="41" spans="1:5 16384:16384" x14ac:dyDescent="0.2">
      <c r="A41" s="41"/>
      <c r="B41" s="42"/>
    </row>
    <row r="42" spans="1:5 16384:16384" x14ac:dyDescent="0.2">
      <c r="A42" s="103"/>
      <c r="B42" s="7"/>
      <c r="C42" s="104"/>
    </row>
    <row r="43" spans="1:5 16384:16384" x14ac:dyDescent="0.2">
      <c r="A43" s="103"/>
      <c r="B43" s="105"/>
      <c r="C43" s="104"/>
    </row>
    <row r="44" spans="1:5 16384:16384" x14ac:dyDescent="0.2">
      <c r="A44" s="104"/>
      <c r="B44" s="106"/>
      <c r="C44" s="104"/>
    </row>
    <row r="45" spans="1:5 16384:16384" x14ac:dyDescent="0.2">
      <c r="A45" s="104"/>
      <c r="B45" s="104"/>
      <c r="C45" s="104"/>
    </row>
    <row r="46" spans="1:5 16384:16384" x14ac:dyDescent="0.2">
      <c r="A46" s="104"/>
      <c r="B46" s="107"/>
      <c r="C46" s="104"/>
    </row>
    <row r="47" spans="1:5 16384:16384" x14ac:dyDescent="0.2">
      <c r="A47" s="103"/>
      <c r="B47" s="105"/>
      <c r="C47" s="104"/>
    </row>
    <row r="48" spans="1:5 16384:16384" x14ac:dyDescent="0.2">
      <c r="A48" s="104"/>
      <c r="B48" s="106"/>
      <c r="C48" s="104"/>
    </row>
    <row r="49" spans="1:3" x14ac:dyDescent="0.2">
      <c r="A49" s="104"/>
      <c r="B49" s="104"/>
      <c r="C49" s="10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4"/>
  <sheetViews>
    <sheetView topLeftCell="A55" workbookViewId="0">
      <selection activeCell="A75" sqref="A75"/>
    </sheetView>
  </sheetViews>
  <sheetFormatPr defaultColWidth="12" defaultRowHeight="12.75" x14ac:dyDescent="0.2"/>
  <cols>
    <col min="1" max="1" width="48" style="13" customWidth="1"/>
    <col min="2" max="2" width="8.5" style="13" customWidth="1"/>
    <col min="3" max="3" width="6" style="13" customWidth="1"/>
    <col min="4" max="4" width="12.83203125" style="13" customWidth="1"/>
    <col min="5" max="5" width="10.1640625" style="13" customWidth="1"/>
    <col min="6" max="6" width="15.33203125" style="13" customWidth="1"/>
    <col min="7" max="7" width="6.6640625" style="13" customWidth="1"/>
    <col min="8" max="16384" width="12" style="1"/>
  </cols>
  <sheetData>
    <row r="1" spans="1:7" ht="18" x14ac:dyDescent="0.25">
      <c r="A1" s="75" t="s">
        <v>211</v>
      </c>
      <c r="B1" s="10"/>
      <c r="C1" s="10"/>
      <c r="D1" s="11"/>
      <c r="E1" s="11"/>
      <c r="F1" s="11"/>
      <c r="G1" s="11"/>
    </row>
    <row r="2" spans="1:7" x14ac:dyDescent="0.2">
      <c r="A2" s="76"/>
    </row>
    <row r="3" spans="1:7" x14ac:dyDescent="0.2">
      <c r="A3" s="14" t="s">
        <v>0</v>
      </c>
      <c r="B3" s="14"/>
      <c r="C3" s="14"/>
      <c r="D3" s="14"/>
      <c r="E3" s="14"/>
      <c r="F3" s="14"/>
      <c r="G3" s="14"/>
    </row>
    <row r="4" spans="1:7" x14ac:dyDescent="0.2">
      <c r="A4" s="6"/>
      <c r="B4" s="6"/>
      <c r="C4" s="6"/>
      <c r="D4" s="6"/>
      <c r="E4" s="6"/>
      <c r="F4" s="6"/>
      <c r="G4" s="6"/>
    </row>
    <row r="5" spans="1:7" x14ac:dyDescent="0.2">
      <c r="A5" s="15" t="s">
        <v>231</v>
      </c>
      <c r="B5" s="15"/>
      <c r="C5" s="15"/>
      <c r="D5" s="2"/>
      <c r="E5" s="2"/>
      <c r="F5" s="2"/>
      <c r="G5" s="2"/>
    </row>
    <row r="6" spans="1:7" x14ac:dyDescent="0.2">
      <c r="A6" s="6"/>
      <c r="B6" s="6"/>
      <c r="C6" s="6"/>
      <c r="D6" s="6"/>
      <c r="E6" s="6"/>
      <c r="F6" s="6"/>
      <c r="G6" s="6"/>
    </row>
    <row r="7" spans="1:7" x14ac:dyDescent="0.2">
      <c r="A7" s="16" t="s">
        <v>35</v>
      </c>
      <c r="B7" s="16"/>
      <c r="C7" s="16"/>
      <c r="D7" s="2">
        <f>D12+D17</f>
        <v>0</v>
      </c>
      <c r="E7" s="6"/>
      <c r="F7" s="6"/>
      <c r="G7" s="6"/>
    </row>
    <row r="8" spans="1:7" x14ac:dyDescent="0.2">
      <c r="A8" s="6"/>
      <c r="B8" s="6"/>
      <c r="C8" s="6"/>
      <c r="D8" s="6"/>
      <c r="E8" s="6"/>
      <c r="F8" s="6"/>
      <c r="G8" s="6"/>
    </row>
    <row r="9" spans="1:7" x14ac:dyDescent="0.2">
      <c r="A9" s="18" t="s">
        <v>169</v>
      </c>
      <c r="B9" s="18"/>
      <c r="C9" s="18"/>
      <c r="D9" s="6">
        <v>0</v>
      </c>
      <c r="E9" s="6" t="s">
        <v>36</v>
      </c>
      <c r="F9" s="6"/>
      <c r="G9" s="6"/>
    </row>
    <row r="10" spans="1:7" x14ac:dyDescent="0.2">
      <c r="A10" s="19" t="s">
        <v>86</v>
      </c>
      <c r="B10" s="19"/>
      <c r="C10" s="19"/>
      <c r="D10" s="6">
        <f>+[2]COLETOR!B27</f>
        <v>2348.54</v>
      </c>
      <c r="E10" s="19" t="s">
        <v>37</v>
      </c>
      <c r="F10" s="6"/>
      <c r="G10" s="6"/>
    </row>
    <row r="11" spans="1:7" x14ac:dyDescent="0.2">
      <c r="A11" s="18" t="s">
        <v>43</v>
      </c>
      <c r="B11" s="18"/>
      <c r="C11" s="18"/>
      <c r="D11" s="6">
        <f>D10*D9</f>
        <v>0</v>
      </c>
      <c r="E11" s="6" t="s">
        <v>39</v>
      </c>
      <c r="F11" s="6"/>
      <c r="G11" s="6"/>
    </row>
    <row r="12" spans="1:7" x14ac:dyDescent="0.2">
      <c r="A12" s="18" t="s">
        <v>38</v>
      </c>
      <c r="B12" s="18"/>
      <c r="C12" s="18"/>
      <c r="D12" s="6">
        <f>D11</f>
        <v>0</v>
      </c>
      <c r="E12" s="6" t="s">
        <v>39</v>
      </c>
      <c r="F12" s="6"/>
      <c r="G12" s="6"/>
    </row>
    <row r="13" spans="1:7" x14ac:dyDescent="0.2">
      <c r="A13" s="18"/>
      <c r="B13" s="18"/>
      <c r="C13" s="18"/>
      <c r="D13" s="6"/>
      <c r="E13" s="6"/>
      <c r="F13" s="6"/>
      <c r="G13" s="6"/>
    </row>
    <row r="14" spans="1:7" x14ac:dyDescent="0.2">
      <c r="A14" s="19" t="s">
        <v>40</v>
      </c>
      <c r="B14" s="19"/>
      <c r="C14" s="19"/>
      <c r="D14" s="6">
        <v>0</v>
      </c>
      <c r="E14" s="6" t="s">
        <v>36</v>
      </c>
      <c r="F14" s="6"/>
      <c r="G14" s="6"/>
    </row>
    <row r="15" spans="1:7" x14ac:dyDescent="0.2">
      <c r="A15" s="6" t="s">
        <v>41</v>
      </c>
      <c r="B15" s="6"/>
      <c r="C15" s="6"/>
      <c r="D15" s="6">
        <f>[2]FISCAL!B29</f>
        <v>3322.2905000000001</v>
      </c>
      <c r="E15" s="6" t="s">
        <v>37</v>
      </c>
      <c r="F15" s="6"/>
      <c r="G15" s="6"/>
    </row>
    <row r="16" spans="1:7" x14ac:dyDescent="0.2">
      <c r="A16" s="18" t="s">
        <v>43</v>
      </c>
      <c r="B16" s="18"/>
      <c r="C16" s="18"/>
      <c r="D16" s="6">
        <f>+D15*D14</f>
        <v>0</v>
      </c>
      <c r="E16" s="6" t="s">
        <v>39</v>
      </c>
      <c r="F16" s="6"/>
      <c r="G16" s="6"/>
    </row>
    <row r="17" spans="1:7" x14ac:dyDescent="0.2">
      <c r="A17" s="6" t="s">
        <v>53</v>
      </c>
      <c r="B17" s="6"/>
      <c r="C17" s="6"/>
      <c r="D17" s="6">
        <f>D16</f>
        <v>0</v>
      </c>
      <c r="E17" s="6" t="s">
        <v>45</v>
      </c>
      <c r="F17" s="6"/>
      <c r="G17" s="6"/>
    </row>
    <row r="18" spans="1:7" x14ac:dyDescent="0.2">
      <c r="A18" s="18"/>
      <c r="B18" s="18"/>
      <c r="C18" s="18"/>
      <c r="D18" s="6"/>
      <c r="E18" s="6"/>
      <c r="F18" s="6"/>
      <c r="G18" s="6"/>
    </row>
    <row r="19" spans="1:7" x14ac:dyDescent="0.2">
      <c r="A19" s="28" t="s">
        <v>89</v>
      </c>
      <c r="B19" s="28"/>
      <c r="C19" s="28"/>
      <c r="D19" s="21">
        <f>D35+D37</f>
        <v>0</v>
      </c>
      <c r="E19" s="6"/>
      <c r="F19" s="6"/>
      <c r="G19" s="1"/>
    </row>
    <row r="20" spans="1:7" x14ac:dyDescent="0.2">
      <c r="A20" s="20"/>
      <c r="B20" s="20"/>
      <c r="C20" s="20"/>
      <c r="D20" s="21"/>
      <c r="E20" s="6"/>
      <c r="F20" s="6"/>
      <c r="G20" s="1"/>
    </row>
    <row r="21" spans="1:7" x14ac:dyDescent="0.2">
      <c r="A21" s="22" t="s">
        <v>121</v>
      </c>
      <c r="B21" s="23">
        <v>0</v>
      </c>
      <c r="C21" s="33" t="s">
        <v>122</v>
      </c>
      <c r="D21" s="6">
        <f>B21*[2]PREÇOS!C10</f>
        <v>0</v>
      </c>
      <c r="E21" s="6" t="s">
        <v>39</v>
      </c>
      <c r="F21" s="23"/>
      <c r="G21" s="6"/>
    </row>
    <row r="22" spans="1:7" x14ac:dyDescent="0.2">
      <c r="A22" s="6" t="s">
        <v>123</v>
      </c>
      <c r="B22" s="23">
        <v>0</v>
      </c>
      <c r="C22" s="33" t="s">
        <v>122</v>
      </c>
      <c r="D22" s="6">
        <f>B22*[2]PREÇOS!C9</f>
        <v>0</v>
      </c>
      <c r="E22" s="6" t="s">
        <v>39</v>
      </c>
      <c r="F22" s="23"/>
      <c r="G22" s="6"/>
    </row>
    <row r="23" spans="1:7" x14ac:dyDescent="0.2">
      <c r="A23" s="6" t="s">
        <v>124</v>
      </c>
      <c r="B23" s="23">
        <v>0</v>
      </c>
      <c r="C23" s="33" t="s">
        <v>122</v>
      </c>
      <c r="D23" s="6">
        <f>B23*[2]PREÇOS!C12</f>
        <v>0</v>
      </c>
      <c r="E23" s="6" t="s">
        <v>39</v>
      </c>
      <c r="F23" s="25"/>
      <c r="G23" s="6"/>
    </row>
    <row r="24" spans="1:7" x14ac:dyDescent="0.2">
      <c r="A24" s="6" t="s">
        <v>125</v>
      </c>
      <c r="B24" s="23">
        <v>0</v>
      </c>
      <c r="C24" s="33" t="s">
        <v>122</v>
      </c>
      <c r="D24" s="6">
        <f>B24*[2]PREÇOS!C11</f>
        <v>0</v>
      </c>
      <c r="E24" s="6" t="s">
        <v>39</v>
      </c>
      <c r="F24" s="25"/>
      <c r="G24" s="6"/>
    </row>
    <row r="25" spans="1:7" x14ac:dyDescent="0.2">
      <c r="A25" s="6" t="s">
        <v>126</v>
      </c>
      <c r="B25" s="23">
        <v>0</v>
      </c>
      <c r="C25" s="33" t="s">
        <v>122</v>
      </c>
      <c r="D25" s="6">
        <f>B25*[2]PREÇOS!C13</f>
        <v>0</v>
      </c>
      <c r="E25" s="6" t="s">
        <v>39</v>
      </c>
      <c r="F25" s="25"/>
      <c r="G25" s="6"/>
    </row>
    <row r="26" spans="1:7" x14ac:dyDescent="0.2">
      <c r="A26" s="6" t="s">
        <v>127</v>
      </c>
      <c r="B26" s="23">
        <v>0</v>
      </c>
      <c r="C26" s="33" t="s">
        <v>122</v>
      </c>
      <c r="D26" s="6">
        <f>B26*[2]PREÇOS!C14</f>
        <v>0</v>
      </c>
      <c r="E26" s="6" t="s">
        <v>39</v>
      </c>
      <c r="F26" s="25"/>
      <c r="G26" s="6"/>
    </row>
    <row r="27" spans="1:7" x14ac:dyDescent="0.2">
      <c r="A27" s="6" t="s">
        <v>107</v>
      </c>
      <c r="B27" s="23">
        <v>0</v>
      </c>
      <c r="C27" s="33" t="s">
        <v>122</v>
      </c>
      <c r="D27" s="6">
        <f>B27*[2]PREÇOS!C16</f>
        <v>0</v>
      </c>
      <c r="E27" s="6" t="s">
        <v>39</v>
      </c>
      <c r="F27" s="25"/>
      <c r="G27" s="6"/>
    </row>
    <row r="28" spans="1:7" x14ac:dyDescent="0.2">
      <c r="A28" s="6" t="s">
        <v>129</v>
      </c>
      <c r="B28" s="23">
        <v>0</v>
      </c>
      <c r="C28" s="33" t="s">
        <v>122</v>
      </c>
      <c r="D28" s="6">
        <f>B28*[2]PREÇOS!C21</f>
        <v>0</v>
      </c>
      <c r="E28" s="6" t="s">
        <v>39</v>
      </c>
      <c r="F28" s="25"/>
      <c r="G28" s="6"/>
    </row>
    <row r="29" spans="1:7" x14ac:dyDescent="0.2">
      <c r="A29" s="6" t="s">
        <v>128</v>
      </c>
      <c r="B29" s="23">
        <v>0</v>
      </c>
      <c r="C29" s="33" t="s">
        <v>122</v>
      </c>
      <c r="D29" s="6">
        <f>B29*[2]PREÇOS!C20</f>
        <v>0</v>
      </c>
      <c r="E29" s="6" t="s">
        <v>39</v>
      </c>
      <c r="F29" s="25"/>
      <c r="G29" s="6"/>
    </row>
    <row r="30" spans="1:7" x14ac:dyDescent="0.2">
      <c r="A30" s="6" t="s">
        <v>202</v>
      </c>
      <c r="B30" s="23">
        <v>0</v>
      </c>
      <c r="C30" s="33" t="s">
        <v>122</v>
      </c>
      <c r="D30" s="6">
        <f>B30*[2]PREÇOS!C22</f>
        <v>0</v>
      </c>
      <c r="E30" s="6" t="str">
        <f>+E29</f>
        <v>R$</v>
      </c>
      <c r="F30" s="25"/>
      <c r="G30" s="6"/>
    </row>
    <row r="31" spans="1:7" x14ac:dyDescent="0.2">
      <c r="A31" s="6" t="s">
        <v>133</v>
      </c>
      <c r="B31" s="23">
        <v>0</v>
      </c>
      <c r="C31" s="33" t="s">
        <v>122</v>
      </c>
      <c r="D31" s="6">
        <f>B31*[2]PREÇOS!C17</f>
        <v>0</v>
      </c>
      <c r="E31" s="6" t="s">
        <v>39</v>
      </c>
      <c r="F31" s="25"/>
      <c r="G31" s="6"/>
    </row>
    <row r="32" spans="1:7" x14ac:dyDescent="0.2">
      <c r="A32" s="6" t="s">
        <v>134</v>
      </c>
      <c r="B32" s="25">
        <v>0</v>
      </c>
      <c r="C32" s="17" t="s">
        <v>132</v>
      </c>
      <c r="D32" s="6">
        <f>B32*[2]PREÇOS!C24</f>
        <v>0</v>
      </c>
      <c r="E32" s="6" t="s">
        <v>39</v>
      </c>
      <c r="F32" s="25"/>
      <c r="G32" s="6"/>
    </row>
    <row r="33" spans="1:7" x14ac:dyDescent="0.2">
      <c r="A33" s="6" t="s">
        <v>69</v>
      </c>
      <c r="B33" s="6"/>
      <c r="C33" s="6"/>
      <c r="D33" s="6">
        <f>SUM(D21:D32)</f>
        <v>0</v>
      </c>
      <c r="E33" s="6" t="s">
        <v>39</v>
      </c>
      <c r="F33" s="25"/>
      <c r="G33" s="6"/>
    </row>
    <row r="34" spans="1:7" x14ac:dyDescent="0.2">
      <c r="A34" s="6" t="s">
        <v>70</v>
      </c>
      <c r="B34" s="6"/>
      <c r="C34" s="6"/>
      <c r="D34" s="6">
        <v>12</v>
      </c>
      <c r="E34" s="6" t="s">
        <v>59</v>
      </c>
      <c r="F34" s="25"/>
      <c r="G34" s="6"/>
    </row>
    <row r="35" spans="1:7" x14ac:dyDescent="0.2">
      <c r="A35" s="6" t="s">
        <v>60</v>
      </c>
      <c r="B35" s="6"/>
      <c r="C35" s="6"/>
      <c r="D35" s="6">
        <f>+D33/+D34</f>
        <v>0</v>
      </c>
      <c r="E35" s="6" t="s">
        <v>71</v>
      </c>
      <c r="F35" s="6"/>
      <c r="G35" s="6"/>
    </row>
    <row r="36" spans="1:7" x14ac:dyDescent="0.2">
      <c r="A36" s="6" t="s">
        <v>72</v>
      </c>
      <c r="B36" s="6"/>
      <c r="C36" s="6"/>
      <c r="D36" s="26">
        <v>2.5000000000000001E-2</v>
      </c>
      <c r="E36" s="6"/>
      <c r="F36" s="6"/>
      <c r="G36" s="6"/>
    </row>
    <row r="37" spans="1:7" x14ac:dyDescent="0.2">
      <c r="A37" s="6" t="s">
        <v>61</v>
      </c>
      <c r="B37" s="6"/>
      <c r="C37" s="6"/>
      <c r="D37" s="6">
        <f>D36*D35</f>
        <v>0</v>
      </c>
      <c r="E37" s="6" t="s">
        <v>71</v>
      </c>
      <c r="F37" s="6"/>
      <c r="G37" s="6"/>
    </row>
    <row r="38" spans="1:7" x14ac:dyDescent="0.2">
      <c r="A38" s="18"/>
      <c r="B38" s="18"/>
      <c r="C38" s="18"/>
      <c r="D38" s="6"/>
      <c r="E38" s="6"/>
      <c r="F38" s="6"/>
      <c r="G38" s="6"/>
    </row>
    <row r="39" spans="1:7" x14ac:dyDescent="0.2">
      <c r="A39" s="28" t="s">
        <v>223</v>
      </c>
      <c r="B39" s="28"/>
      <c r="C39" s="28"/>
      <c r="D39" s="6">
        <f>+D45+D46</f>
        <v>17000</v>
      </c>
      <c r="E39" s="6"/>
      <c r="F39" s="6"/>
      <c r="G39" s="6"/>
    </row>
    <row r="40" spans="1:7" x14ac:dyDescent="0.2">
      <c r="A40" s="6"/>
      <c r="B40" s="6"/>
      <c r="C40" s="6"/>
      <c r="D40" s="6"/>
      <c r="E40" s="6"/>
      <c r="F40" s="6"/>
      <c r="G40" s="6"/>
    </row>
    <row r="41" spans="1:7" x14ac:dyDescent="0.2">
      <c r="A41" s="6" t="s">
        <v>224</v>
      </c>
      <c r="B41" s="6">
        <v>0</v>
      </c>
      <c r="C41" s="6" t="s">
        <v>122</v>
      </c>
      <c r="D41" s="6">
        <f>B41*[2]BASCULANTE!B61</f>
        <v>0</v>
      </c>
      <c r="E41" s="6" t="s">
        <v>39</v>
      </c>
      <c r="F41" s="6"/>
      <c r="G41" s="6"/>
    </row>
    <row r="42" spans="1:7" x14ac:dyDescent="0.2">
      <c r="A42" s="6" t="s">
        <v>225</v>
      </c>
      <c r="B42" s="6">
        <v>1</v>
      </c>
      <c r="C42" s="6" t="s">
        <v>122</v>
      </c>
      <c r="D42" s="6">
        <v>17000</v>
      </c>
      <c r="E42" s="6" t="s">
        <v>36</v>
      </c>
      <c r="F42" s="6"/>
      <c r="G42" s="6"/>
    </row>
    <row r="43" spans="1:7" x14ac:dyDescent="0.2">
      <c r="A43" s="18" t="s">
        <v>226</v>
      </c>
      <c r="B43" s="77">
        <v>0</v>
      </c>
      <c r="C43" s="18" t="s">
        <v>122</v>
      </c>
      <c r="D43" s="6">
        <f>B43*[2]BAÚ!B61</f>
        <v>0</v>
      </c>
      <c r="E43" s="6" t="s">
        <v>39</v>
      </c>
      <c r="F43" s="6"/>
      <c r="G43" s="6"/>
    </row>
    <row r="44" spans="1:7" x14ac:dyDescent="0.2">
      <c r="A44" s="19" t="s">
        <v>227</v>
      </c>
      <c r="B44" s="78">
        <v>0</v>
      </c>
      <c r="C44" s="19" t="s">
        <v>122</v>
      </c>
      <c r="D44" s="6">
        <v>0</v>
      </c>
      <c r="E44" s="6" t="s">
        <v>44</v>
      </c>
      <c r="F44" s="6" t="s">
        <v>8</v>
      </c>
      <c r="G44" s="6"/>
    </row>
    <row r="45" spans="1:7" x14ac:dyDescent="0.2">
      <c r="A45" s="6" t="s">
        <v>228</v>
      </c>
      <c r="B45" s="6"/>
      <c r="C45" s="6"/>
      <c r="D45" s="6">
        <f>SUM(D41:D44)</f>
        <v>17000</v>
      </c>
      <c r="E45" s="6" t="s">
        <v>45</v>
      </c>
      <c r="F45" s="6"/>
      <c r="G45" s="6"/>
    </row>
    <row r="46" spans="1:7" x14ac:dyDescent="0.2">
      <c r="A46" s="6"/>
      <c r="B46" s="25"/>
      <c r="C46" s="17"/>
      <c r="D46" s="6"/>
      <c r="E46" s="6"/>
      <c r="F46" s="6"/>
      <c r="G46" s="6"/>
    </row>
    <row r="47" spans="1:7" x14ac:dyDescent="0.2">
      <c r="A47" s="18"/>
      <c r="B47" s="18"/>
      <c r="C47" s="18"/>
      <c r="D47" s="6"/>
      <c r="E47" s="6"/>
      <c r="F47" s="6"/>
      <c r="G47" s="6"/>
    </row>
    <row r="48" spans="1:7" x14ac:dyDescent="0.2">
      <c r="A48" s="16" t="s">
        <v>63</v>
      </c>
      <c r="B48" s="16"/>
      <c r="C48" s="16"/>
      <c r="D48" s="6"/>
      <c r="E48" s="6"/>
      <c r="F48" s="6"/>
      <c r="G48" s="6"/>
    </row>
    <row r="49" spans="1:7" x14ac:dyDescent="0.2">
      <c r="A49" s="6" t="s">
        <v>68</v>
      </c>
      <c r="B49" s="6"/>
      <c r="C49" s="6"/>
      <c r="D49" s="6">
        <f>D7</f>
        <v>0</v>
      </c>
      <c r="E49" s="6" t="s">
        <v>39</v>
      </c>
      <c r="F49" s="6"/>
      <c r="G49" s="6"/>
    </row>
    <row r="50" spans="1:7" x14ac:dyDescent="0.2">
      <c r="A50" s="6" t="s">
        <v>62</v>
      </c>
      <c r="B50" s="6"/>
      <c r="C50" s="6"/>
      <c r="D50" s="6">
        <f>D39</f>
        <v>17000</v>
      </c>
      <c r="E50" s="6" t="s">
        <v>39</v>
      </c>
      <c r="F50" s="6"/>
      <c r="G50" s="6"/>
    </row>
    <row r="51" spans="1:7" x14ac:dyDescent="0.2">
      <c r="A51" s="6" t="s">
        <v>64</v>
      </c>
      <c r="B51" s="6"/>
      <c r="C51" s="6"/>
      <c r="D51" s="6">
        <f>D19</f>
        <v>0</v>
      </c>
      <c r="E51" s="6" t="s">
        <v>39</v>
      </c>
      <c r="F51" s="6"/>
      <c r="G51" s="6"/>
    </row>
    <row r="52" spans="1:7" x14ac:dyDescent="0.2">
      <c r="A52" s="6" t="s">
        <v>46</v>
      </c>
      <c r="B52" s="6"/>
      <c r="C52" s="6"/>
      <c r="D52" s="6">
        <f>SUM(D49:D51)</f>
        <v>17000</v>
      </c>
      <c r="E52" s="6" t="s">
        <v>39</v>
      </c>
      <c r="F52" s="6"/>
      <c r="G52" s="6"/>
    </row>
    <row r="53" spans="1:7" x14ac:dyDescent="0.2">
      <c r="A53" s="6"/>
      <c r="B53" s="6"/>
      <c r="C53" s="6"/>
      <c r="D53" s="6" t="s">
        <v>8</v>
      </c>
      <c r="E53" s="6"/>
      <c r="F53" s="6"/>
      <c r="G53" s="6"/>
    </row>
    <row r="54" spans="1:7" x14ac:dyDescent="0.2">
      <c r="A54" s="16" t="s">
        <v>65</v>
      </c>
      <c r="B54" s="16"/>
      <c r="C54" s="16"/>
      <c r="D54" s="6" t="s">
        <v>8</v>
      </c>
      <c r="E54" s="6"/>
      <c r="F54" s="6"/>
      <c r="G54" s="6"/>
    </row>
    <row r="55" spans="1:7" x14ac:dyDescent="0.2">
      <c r="A55" s="6"/>
      <c r="B55" s="6"/>
      <c r="C55" s="6"/>
      <c r="D55" s="6" t="s">
        <v>8</v>
      </c>
      <c r="E55" s="6"/>
      <c r="F55" s="6"/>
      <c r="G55" s="6"/>
    </row>
    <row r="56" spans="1:7" x14ac:dyDescent="0.2">
      <c r="A56" s="19" t="s">
        <v>47</v>
      </c>
      <c r="B56" s="19"/>
      <c r="C56" s="19"/>
      <c r="D56" s="9">
        <v>0</v>
      </c>
      <c r="E56" s="6" t="s">
        <v>8</v>
      </c>
      <c r="F56" s="27">
        <f>D56*[2]ADM!$B$37</f>
        <v>0</v>
      </c>
      <c r="G56" s="6"/>
    </row>
    <row r="57" spans="1:7" x14ac:dyDescent="0.2">
      <c r="A57" s="6"/>
      <c r="B57" s="6"/>
      <c r="C57" s="6"/>
      <c r="D57" s="6"/>
      <c r="E57" s="6"/>
      <c r="F57" s="27"/>
      <c r="G57" s="6"/>
    </row>
    <row r="58" spans="1:7" x14ac:dyDescent="0.2">
      <c r="A58" s="16" t="s">
        <v>205</v>
      </c>
      <c r="B58" s="6"/>
      <c r="C58" s="6"/>
      <c r="D58" s="6"/>
      <c r="E58" s="6"/>
      <c r="F58" s="27"/>
      <c r="G58" s="6"/>
    </row>
    <row r="59" spans="1:7" x14ac:dyDescent="0.2">
      <c r="A59" s="6" t="s">
        <v>48</v>
      </c>
      <c r="B59" s="6"/>
      <c r="C59" s="6"/>
      <c r="D59" s="29">
        <v>0.15</v>
      </c>
      <c r="E59" s="6" t="s">
        <v>8</v>
      </c>
      <c r="F59" s="27">
        <f>+(D52+F56)*D59</f>
        <v>2550</v>
      </c>
      <c r="G59" s="6"/>
    </row>
    <row r="60" spans="1:7" x14ac:dyDescent="0.2">
      <c r="A60" s="6"/>
      <c r="B60" s="6"/>
      <c r="C60" s="6"/>
      <c r="D60" s="6"/>
      <c r="E60" s="6"/>
      <c r="F60" s="27"/>
      <c r="G60" s="6"/>
    </row>
    <row r="61" spans="1:7" x14ac:dyDescent="0.2">
      <c r="A61" s="16" t="s">
        <v>66</v>
      </c>
      <c r="B61" s="16"/>
      <c r="C61" s="16"/>
      <c r="D61" s="6"/>
      <c r="E61" s="6"/>
      <c r="F61" s="27">
        <f>+F59+F56+D52</f>
        <v>19550</v>
      </c>
      <c r="G61" s="6"/>
    </row>
    <row r="62" spans="1:7" x14ac:dyDescent="0.2">
      <c r="A62" s="6"/>
      <c r="B62" s="6"/>
      <c r="C62" s="6"/>
      <c r="D62" s="6"/>
      <c r="E62" s="6"/>
      <c r="F62" s="27"/>
      <c r="G62" s="6"/>
    </row>
    <row r="63" spans="1:7" x14ac:dyDescent="0.2">
      <c r="A63" s="20" t="s">
        <v>204</v>
      </c>
      <c r="B63" s="6"/>
      <c r="C63" s="6"/>
      <c r="D63" s="6"/>
      <c r="E63" s="6"/>
      <c r="F63" s="27"/>
      <c r="G63" s="6"/>
    </row>
    <row r="64" spans="1:7" x14ac:dyDescent="0.2">
      <c r="A64" s="6" t="s">
        <v>48</v>
      </c>
      <c r="B64" s="6"/>
      <c r="C64" s="6"/>
      <c r="D64" s="9">
        <v>0.14249999999999999</v>
      </c>
      <c r="E64" s="79" t="s">
        <v>8</v>
      </c>
      <c r="F64" s="6">
        <f>+F61/0.8575</f>
        <v>22798.83381924198</v>
      </c>
      <c r="G64" s="6"/>
    </row>
    <row r="65" spans="1:7" x14ac:dyDescent="0.2">
      <c r="D65" s="79"/>
      <c r="E65" s="79"/>
      <c r="F65" s="79"/>
      <c r="G65" s="6"/>
    </row>
    <row r="66" spans="1:7" x14ac:dyDescent="0.2">
      <c r="A66" s="32" t="s">
        <v>67</v>
      </c>
      <c r="B66" s="32"/>
      <c r="C66" s="32"/>
      <c r="D66" s="80"/>
      <c r="E66" s="80"/>
      <c r="F66" s="79"/>
      <c r="G66" s="6"/>
    </row>
    <row r="67" spans="1:7" x14ac:dyDescent="0.2">
      <c r="A67" s="2"/>
      <c r="B67" s="2"/>
      <c r="C67" s="2"/>
      <c r="D67" s="80"/>
      <c r="E67" s="80"/>
      <c r="F67" s="79"/>
      <c r="G67" s="6" t="s">
        <v>8</v>
      </c>
    </row>
    <row r="68" spans="1:7" x14ac:dyDescent="0.2">
      <c r="A68" s="74" t="s">
        <v>49</v>
      </c>
      <c r="B68" s="74"/>
      <c r="C68" s="74"/>
      <c r="D68" s="2">
        <f>F64</f>
        <v>22798.83381924198</v>
      </c>
      <c r="E68" s="2" t="s">
        <v>39</v>
      </c>
      <c r="F68" s="6"/>
      <c r="G68" s="6"/>
    </row>
    <row r="69" spans="1:7" x14ac:dyDescent="0.2">
      <c r="A69" s="2" t="s">
        <v>50</v>
      </c>
      <c r="B69" s="2"/>
      <c r="C69" s="2"/>
      <c r="D69" s="2">
        <v>220</v>
      </c>
      <c r="E69" s="2" t="s">
        <v>232</v>
      </c>
      <c r="F69" s="6"/>
      <c r="G69" s="6"/>
    </row>
    <row r="70" spans="1:7" x14ac:dyDescent="0.2">
      <c r="A70" s="2" t="s">
        <v>51</v>
      </c>
      <c r="B70" s="2"/>
      <c r="C70" s="2"/>
      <c r="D70" s="2">
        <f>ROUND(D68/D69,2)</f>
        <v>103.63</v>
      </c>
      <c r="E70" s="2" t="s">
        <v>233</v>
      </c>
      <c r="F70" s="1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G72" s="6"/>
    </row>
    <row r="73" spans="1:7" x14ac:dyDescent="0.2">
      <c r="G73" s="6"/>
    </row>
    <row r="74" spans="1:7" x14ac:dyDescent="0.2">
      <c r="G74" s="6"/>
    </row>
  </sheetData>
  <pageMargins left="0.39370078740157483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24</vt:i4>
      </vt:variant>
      <vt:variant>
        <vt:lpstr>Intervalos Nomeados</vt:lpstr>
      </vt:variant>
      <vt:variant>
        <vt:i4>11</vt:i4>
      </vt:variant>
    </vt:vector>
  </HeadingPairs>
  <TitlesOfParts>
    <vt:vector size="35" baseType="lpstr">
      <vt:lpstr>BASCULANTE (2)</vt:lpstr>
      <vt:lpstr>BALANÇA</vt:lpstr>
      <vt:lpstr>OPERAÇÃO</vt:lpstr>
      <vt:lpstr>COLETOR</vt:lpstr>
      <vt:lpstr>VARREDOR</vt:lpstr>
      <vt:lpstr>FISCAL</vt:lpstr>
      <vt:lpstr>MOTORISTA</vt:lpstr>
      <vt:lpstr>ADM</vt:lpstr>
      <vt:lpstr>LOCA RETRO</vt:lpstr>
      <vt:lpstr>LOCA CAÇAMBA</vt:lpstr>
      <vt:lpstr>CONTAINER 1M</vt:lpstr>
      <vt:lpstr>SOTERRADOS  2M_NAO USAR </vt:lpstr>
      <vt:lpstr>BASCULANTE 1</vt:lpstr>
      <vt:lpstr>BAÚ</vt:lpstr>
      <vt:lpstr>COMPACTADOR 15m³_OK</vt:lpstr>
      <vt:lpstr>COMPACTADOR 19m³ </vt:lpstr>
      <vt:lpstr>DOMICILIAR</vt:lpstr>
      <vt:lpstr>SELETIVA</vt:lpstr>
      <vt:lpstr>LOC LAV CONT</vt:lpstr>
      <vt:lpstr>PREÇOS</vt:lpstr>
      <vt:lpstr>PLANILHA_NAO IMPRIMIR</vt:lpstr>
      <vt:lpstr>BASICA</vt:lpstr>
      <vt:lpstr>PROPOSTA</vt:lpstr>
      <vt:lpstr>QUADRO</vt:lpstr>
      <vt:lpstr>ADM!Area_de_impressao</vt:lpstr>
      <vt:lpstr>BALANÇA!Area_de_impressao</vt:lpstr>
      <vt:lpstr>BASICA!Area_de_impressao</vt:lpstr>
      <vt:lpstr>COLETOR!Area_de_impressao</vt:lpstr>
      <vt:lpstr>'COMPACTADOR 15m³_OK'!Area_de_impressao</vt:lpstr>
      <vt:lpstr>'CONTAINER 1M'!Area_de_impressao</vt:lpstr>
      <vt:lpstr>FISCAL!Area_de_impressao</vt:lpstr>
      <vt:lpstr>'LOC LAV CONT'!Area_de_impressao</vt:lpstr>
      <vt:lpstr>OPERAÇÃO!Area_de_impressao</vt:lpstr>
      <vt:lpstr>'PLANILHA_NAO IMPRIMIR'!Area_de_impressao</vt:lpstr>
      <vt:lpstr>'SOTERRADOS  2M_NAO USAR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operador</cp:lastModifiedBy>
  <cp:lastPrinted>2019-09-09T15:41:51Z</cp:lastPrinted>
  <dcterms:created xsi:type="dcterms:W3CDTF">1999-10-15T12:11:47Z</dcterms:created>
  <dcterms:modified xsi:type="dcterms:W3CDTF">2019-09-09T15:46:16Z</dcterms:modified>
</cp:coreProperties>
</file>